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0478cd9a541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rtfolio" sheetId="1" r:id="R7fc1a7f40f0b479d"/>
    <x:sheet xmlns:r="http://schemas.openxmlformats.org/officeDocument/2006/relationships" name="Fund report" sheetId="2" r:id="R7f1867d769e74fa3"/>
    <x:sheet xmlns:r="http://schemas.openxmlformats.org/officeDocument/2006/relationships" name="Portfolio data" sheetId="3" r:id="R852e84aac2d640b5"/>
    <x:sheet xmlns:r="http://schemas.openxmlformats.org/officeDocument/2006/relationships" name="Fund data" sheetId="4" r:id="R562cd21a1bfd48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;(#,##0);&quot;—&quot;"/>
    <x:numFmt numFmtId="201" formatCode="mm/dd/yy"/>
    <x:numFmt numFmtId="202" formatCode="0.0%;(0.0%);&quot;—&quot;"/>
    <x:numFmt numFmtId="203" formatCode="0.00&quot;x&quot;;(0.00&quot;x&quot;);&quot;—&quot;"/>
  </x:numFmts>
  <x:fonts count="8">
    <x:font>
      <x:sz val="11"/>
      <x:name val="Carlito"/>
    </x:font>
    <x:font>
      <x:sz val="11"/>
      <x:color rgb="FF152D37"/>
      <x:name val="Arial"/>
    </x:font>
    <x:font>
      <x:b/>
      <x:sz val="18"/>
      <x:color rgb="FF152D37"/>
      <x:name val="Arial"/>
    </x:font>
    <x:font>
      <x:sz val="10"/>
      <x:color rgb="FF52666F"/>
      <x:name val="Arial"/>
    </x:font>
    <x:font>
      <x:b/>
      <x:sz val="10"/>
      <x:color rgb="FFFFFFFF"/>
      <x:name val="Arial"/>
    </x:font>
    <x:font>
      <x:sz val="11"/>
      <x:color rgb="FF175DB0"/>
      <x:name val="Arial"/>
    </x:font>
    <x:font>
      <x:b/>
      <x:sz val="11"/>
      <x:color rgb="FF175DB0"/>
      <x:name val="Arial"/>
    </x:font>
    <x:font>
      <x:b/>
      <x:sz val="11"/>
      <x:color rgb="FF152D3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2D37"/>
      </x:patternFill>
    </x:fill>
    <x:fill>
      <x:patternFill patternType="solid">
        <x:fgColor rgb="FFEAF3F5"/>
      </x:patternFill>
    </x:fill>
  </x:fills>
  <x:borders count="3">
    <x:border/>
    <x:border>
      <x:top style="thin">
        <x:color rgb="FFB9CBD0"/>
      </x:top>
    </x:border>
    <x:border>
      <x:bottom style="double">
        <x:color rgb="FFB9CBD0"/>
      </x:bottom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202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horizontal="right" vertical="center"/>
    </x:xf>
    <x:xf numFmtId="0" fontId="7" fillId="0" borderId="0" xfId="0" applyNumberFormat="1" applyFont="1" applyFill="1" applyBorder="1" applyAlignment="1">
      <x:alignment horizontal="left" vertical="center"/>
    </x:xf>
    <x:xf numFmtId="0" fontId="7" fillId="0" borderId="1" xfId="0" applyNumberFormat="1" applyFont="1" applyFill="1" applyBorder="1" applyAlignment="1">
      <x:alignment vertical="center"/>
    </x:xf>
    <x:xf numFmtId="200" fontId="7" fillId="0" borderId="1" xfId="0" applyNumberFormat="1" applyFont="1" applyFill="1" applyBorder="1" applyAlignment="1">
      <x:alignment vertical="center"/>
    </x:xf>
    <x:xf numFmtId="202" fontId="7" fillId="0" borderId="1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 applyAlignment="1">
      <x:alignment horizontal="right" vertical="center"/>
    </x:xf>
    <x:xf numFmtId="0" fontId="7" fillId="0" borderId="1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5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3" fontId="1" fillId="0" borderId="2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A62725"/>
      </x:font>
      <x:fill>
        <x:patternFill patternType="solid">
          <x:bgColor rgb="FFFCEDE9"/>
        </x:patternFill>
      </x:fill>
    </x:dxf>
    <x:dxf>
      <x:font>
        <x:color rgb="FFA62725"/>
      </x:font>
      <x:fill>
        <x:patternFill patternType="solid">
          <x:bgColor rgb="FFFCED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a71241f7a24724" /><Relationship Type="http://schemas.openxmlformats.org/officeDocument/2006/relationships/theme" Target="/xl/theme/theme1.xml" Id="Refb6b445693d4aae" /><Relationship Type="http://schemas.microsoft.com/office/2022/11/relationships/FeaturePropertyBag" Target="/xl/featurePropertyBag/featurePropertyBag.xml" Id="Rd30f5acc89c64bd6" /><Relationship Type="http://schemas.openxmlformats.org/officeDocument/2006/relationships/sharedStrings" Target="/xl/sharedStrings.xml" Id="R36d3aacb97ba4501" /><Relationship Type="http://schemas.openxmlformats.org/officeDocument/2006/relationships/worksheet" Target="/xl/worksheets/sheet1.xml" Id="R7fc1a7f40f0b479d" /><Relationship Type="http://schemas.openxmlformats.org/officeDocument/2006/relationships/worksheet" Target="/xl/worksheets/sheet2.xml" Id="R7f1867d769e74fa3" /><Relationship Type="http://schemas.openxmlformats.org/officeDocument/2006/relationships/worksheet" Target="/xl/worksheets/sheet3.xml" Id="R852e84aac2d640b5" /><Relationship Type="http://schemas.openxmlformats.org/officeDocument/2006/relationships/worksheet" Target="/xl/worksheets/sheet4.xml" Id="R562cd21a1bfd48a0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PortfolioSource" displayName="PortfolioSource" ref="A6:O54" headerRowCount="1" totalsRowCount="0" totalsRowShown="0">
  <x:tableColumns count="15">
    <x:tableColumn id="1" name="Company ID"/>
    <x:tableColumn id="2" name="Company"/>
    <x:tableColumn id="3" name="Quarter"/>
    <x:tableColumn id="4" name="Currency"/>
    <x:tableColumn id="5" name="Revenue"/>
    <x:tableColumn id="6" name="EBITDA"/>
    <x:tableColumn id="7" name="Budget revenue"/>
    <x:tableColumn id="8" name="Receivables"/>
    <x:tableColumn id="9" name="Inventory"/>
    <x:tableColumn id="10" name="Payables"/>
    <x:tableColumn id="11" name="Source revenue"/>
    <x:tableColumn id="12" name="Refreshed"/>
    <x:tableColumn id="13" name="Source ID"/>
    <x:tableColumn id="14" name="Owner"/>
    <x:tableColumn id="15" name="Source 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undSource" displayName="FundSource" ref="A6:I14" headerRowCount="1" totalsRowCount="0" totalsRowShown="0">
  <x:tableColumns count="9">
    <x:tableColumn id="1" name="Sequence"/>
    <x:tableColumn id="2" name="Quarter"/>
    <x:tableColumn id="3" name="Contributions"/>
    <x:tableColumn id="4" name="Distributions"/>
    <x:tableColumn id="5" name="Net change"/>
    <x:tableColumn id="6" name="Closing NAV"/>
    <x:tableColumn id="7" name="Source ID"/>
    <x:tableColumn id="8" name="Basis"/>
    <x:tableColumn id="9" name="Approved sour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2e1ef3186ecf487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68b20ee0b28f4f89" /></Relationships>
</file>

<file path=xl/worksheets/sheet1.xml><?xml version="1.0" encoding="utf-8"?>
<x:worksheet xmlns:x="http://schemas.openxmlformats.org/spreadsheetml/2006/main">
  <x:sheetPr>
    <x:tabColor rgb="FF152D37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8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26" hidden="0" customWidth="1"/>
    <x:col min="11" max="11" width="12" hidden="0" customWidth="1"/>
    <x:col min="12" max="12" width="1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4" customHeight="1">
      <x:c r="A2" s="3" t="str">
        <x:v>Portfolio operations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4" t="str">
        <x:v>SYNTHETIC · Six fictional companies · Eight quarters · USD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4" customHeight="1">
      <x:c r="A5" s="2" t="str">
        <x:v>Reporting quarter</x:v>
      </x:c>
      <x:c r="B5" s="13" t="str">
        <x:v>2026-Q2</x:v>
      </x:c>
      <x:c r="C5" s="2"/>
      <x:c r="D5" s="2" t="str">
        <x:v>Review date</x:v>
      </x:c>
      <x:c r="E5" s="11" t="n">
        <x:f>IF(COUNTIFS('Portfolio data'!$T$7:$T$14,B5)=1,INDEX('Portfolio data'!$V$7:$V$14,MATCH(B5,'Portfolio data'!$T$7:$T$14,0)),"n.a.")</x:f>
        <x:v>46218</x:v>
      </x:c>
      <x:c r="F5" s="2"/>
      <x:c r="G5" s="2"/>
      <x:c r="H5" s="2"/>
      <x:c r="I5" s="2"/>
      <x:c r="J5" s="2"/>
      <x:c r="K5" s="2"/>
      <x:c r="L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4" customHeight="1">
      <x:c r="A7" s="2" t="str">
        <x:v>Change the blue quarter selector. Review the source gap and age before relying on a working view.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24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38" customHeight="1">
      <x:c r="A10" s="7" t="str">
        <x:v>Company</x:v>
      </x:c>
      <x:c r="B10" s="7" t="str">
        <x:v>Revenue</x:v>
      </x:c>
      <x:c r="C10" s="7" t="str">
        <x:v>EBITDA</x:v>
      </x:c>
      <x:c r="D10" s="7" t="str">
        <x:v>EBITDA margin</x:v>
      </x:c>
      <x:c r="E10" s="7" t="str">
        <x:v>Working capital</x:v>
      </x:c>
      <x:c r="F10" s="7" t="str">
        <x:v>Budget revenue</x:v>
      </x:c>
      <x:c r="G10" s="7" t="str">
        <x:v>Revenue variance</x:v>
      </x:c>
      <x:c r="H10" s="7" t="str">
        <x:v>Source gap</x:v>
      </x:c>
      <x:c r="I10" s="7" t="str">
        <x:v>Source age (days)</x:v>
      </x:c>
      <x:c r="J10" s="7" t="str">
        <x:v>Source checks</x:v>
      </x:c>
      <x:c r="K10" s="7" t="str">
        <x:v>Matching rows</x:v>
      </x:c>
      <x:c r="L10" s="7" t="str">
        <x:v>Valid rows</x:v>
      </x:c>
    </x:row>
    <x:row r="11" ht="24" customHeight="1">
      <x:c r="A11" s="2" t="str">
        <x:v>Alder Components</x:v>
      </x:c>
      <x:c r="B11" s="14" t="n">
        <x:f>IF(AND(K11=1,L11=1,ISNUMBER($E$5)),SUMIFS('Portfolio data'!$E$7:$E$54,'Portfolio data'!$B$7:$B$54,$A11,'Portfolio data'!$C$7:$C$54,$B$5),"n.a.")</x:f>
        <x:v>5050000</x:v>
      </x:c>
      <x:c r="C11" s="14" t="n">
        <x:f>IF(AND(K11=1,L11=1,ISNUMBER($E$5)),SUMIFS('Portfolio data'!$F$7:$F$54,'Portfolio data'!$B$7:$B$54,$A11,'Portfolio data'!$C$7:$C$54,$B$5),"n.a.")</x:f>
        <x:v>505000</x:v>
      </x:c>
      <x:c r="D11" s="15" t="n">
        <x:f>IF(AND(ISNUMBER(B11),ISNUMBER(C11)),IF(B11&gt;0,C11/B11,"n.a."),"n.a.")</x:f>
        <x:v>0.1</x:v>
      </x:c>
      <x:c r="E11" s="14" t="n">
        <x:f>IF(AND(K11=1,L11=1,ISNUMBER($E$5)),SUMIFS('Portfolio data'!$H$7:$H$54,'Portfolio data'!$B$7:$B$54,$A11,'Portfolio data'!$C$7:$C$54,$B$5)+SUMIFS('Portfolio data'!$I$7:$I$54,'Portfolio data'!$B$7:$B$54,$A11,'Portfolio data'!$C$7:$C$54,$B$5)-SUMIFS('Portfolio data'!$J$7:$J$54,'Portfolio data'!$B$7:$B$54,$A11,'Portfolio data'!$C$7:$C$54,$B$5),"n.a.")</x:f>
        <x:v>757500</x:v>
      </x:c>
      <x:c r="F11" s="14" t="n">
        <x:f>IF(AND(K11=1,L11=1,ISNUMBER($E$5)),SUMIFS('Portfolio data'!$G$7:$G$54,'Portfolio data'!$B$7:$B$54,$A11,'Portfolio data'!$C$7:$C$54,$B$5),"n.a.")</x:f>
        <x:v>4930000</x:v>
      </x:c>
      <x:c r="G11" s="14" t="n">
        <x:f>IF(AND(ISNUMBER(B11),ISNUMBER(F11)),B11-F11,"n.a.")</x:f>
        <x:v>120000</x:v>
      </x:c>
      <x:c r="H11" s="14" t="n">
        <x:f>IF(AND(K11=1,L11=1,ISNUMBER($E$5)),B11-SUMIFS('Portfolio data'!$K$7:$K$54,'Portfolio data'!$B$7:$B$54,$A11,'Portfolio data'!$C$7:$C$54,$B$5),"n.a.")</x:f>
        <x:v>0</x:v>
      </x:c>
      <x:c r="I11" s="16" t="n">
        <x:f>IF(AND(K11=1,L11=1,ISNUMBER($E$5)),$E$5-SUMIFS('Portfolio data'!$L$7:$L$54,'Portfolio data'!$B$7:$B$54,$A11,'Portfolio data'!$C$7:$C$54,$B$5),"n.a.")</x:f>
        <x:v>10</x:v>
      </x:c>
      <x:c r="J11" s="17" t="str">
        <x:f>IF(K11&lt;&gt;1,"Missing / duplicate",IF(L11&lt;&gt;1,"Incomplete inputs",IF(NOT(ISNUMBER(I11)),"Invalid quarter",IF(I11&lt;0,"Future refresh date",IF(AND(I11&gt;'Portfolio data'!$U$18,ABS(H11)&gt;'Portfolio data'!$U$19),"Stale + source gap",IF(I11&gt;'Portfolio data'!$U$18,"Stale source",IF(ABS(H11)&gt;'Portfolio data'!$U$19,"Source gap","Checks passed")))))))</x:f>
        <x:v>Checks passed</x:v>
      </x:c>
      <x:c r="K11" s="16" t="n">
        <x:f>COUNTIFS('Portfolio data'!$B$7:$B$54,$A11,'Portfolio data'!$C$7:$C$54,$B$5)</x:f>
        <x:v>1</x:v>
      </x:c>
      <x:c r="L11" s="16" t="n">
        <x:f>SUMIFS('Portfolio data'!$P$7:$P$54,'Portfolio data'!$B$7:$B$54,$A11,'Portfolio data'!$C$7:$C$54,$B$5)</x:f>
        <x:v>1</x:v>
      </x:c>
    </x:row>
    <x:row r="12" ht="24" customHeight="1">
      <x:c r="A12" s="2" t="str">
        <x:v>Briar Field Services</x:v>
      </x:c>
      <x:c r="B12" s="14" t="n">
        <x:f>IF(AND(K12=1,L12=1,ISNUMBER($E$5)),SUMIFS('Portfolio data'!$E$7:$E$54,'Portfolio data'!$B$7:$B$54,$A12,'Portfolio data'!$C$7:$C$54,$B$5),"n.a.")</x:f>
        <x:v>6890000</x:v>
      </x:c>
      <x:c r="C12" s="14" t="n">
        <x:f>IF(AND(K12=1,L12=1,ISNUMBER($E$5)),SUMIFS('Portfolio data'!$F$7:$F$54,'Portfolio data'!$B$7:$B$54,$A12,'Portfolio data'!$C$7:$C$54,$B$5),"n.a.")</x:f>
        <x:v>861250</x:v>
      </x:c>
      <x:c r="D12" s="15" t="n">
        <x:f>IF(AND(ISNUMBER(B12),ISNUMBER(C12)),IF(B12&gt;0,C12/B12,"n.a."),"n.a.")</x:f>
        <x:v>0.125</x:v>
      </x:c>
      <x:c r="E12" s="14" t="n">
        <x:f>IF(AND(K12=1,L12=1,ISNUMBER($E$5)),SUMIFS('Portfolio data'!$H$7:$H$54,'Portfolio data'!$B$7:$B$54,$A12,'Portfolio data'!$C$7:$C$54,$B$5)+SUMIFS('Portfolio data'!$I$7:$I$54,'Portfolio data'!$B$7:$B$54,$A12,'Portfolio data'!$C$7:$C$54,$B$5)-SUMIFS('Portfolio data'!$J$7:$J$54,'Portfolio data'!$B$7:$B$54,$A12,'Portfolio data'!$C$7:$C$54,$B$5),"n.a.")</x:f>
        <x:v>1033500</x:v>
      </x:c>
      <x:c r="F12" s="14" t="n">
        <x:f>IF(AND(K12=1,L12=1,ISNUMBER($E$5)),SUMIFS('Portfolio data'!$G$7:$G$54,'Portfolio data'!$B$7:$B$54,$A12,'Portfolio data'!$C$7:$C$54,$B$5),"n.a.")</x:f>
        <x:v>7070000</x:v>
      </x:c>
      <x:c r="G12" s="14" t="n">
        <x:f>IF(AND(ISNUMBER(B12),ISNUMBER(F12)),B12-F12,"n.a.")</x:f>
        <x:v>-180000</x:v>
      </x:c>
      <x:c r="H12" s="14" t="n">
        <x:f>IF(AND(K12=1,L12=1,ISNUMBER($E$5)),B12-SUMIFS('Portfolio data'!$K$7:$K$54,'Portfolio data'!$B$7:$B$54,$A12,'Portfolio data'!$C$7:$C$54,$B$5),"n.a.")</x:f>
        <x:v>0</x:v>
      </x:c>
      <x:c r="I12" s="16" t="n">
        <x:f>IF(AND(K12=1,L12=1,ISNUMBER($E$5)),$E$5-SUMIFS('Portfolio data'!$L$7:$L$54,'Portfolio data'!$B$7:$B$54,$A12,'Portfolio data'!$C$7:$C$54,$B$5),"n.a.")</x:f>
        <x:v>10</x:v>
      </x:c>
      <x:c r="J12" s="17" t="str">
        <x:f>IF(K12&lt;&gt;1,"Missing / duplicate",IF(L12&lt;&gt;1,"Incomplete inputs",IF(NOT(ISNUMBER(I12)),"Invalid quarter",IF(I12&lt;0,"Future refresh date",IF(AND(I12&gt;'Portfolio data'!$U$18,ABS(H12)&gt;'Portfolio data'!$U$19),"Stale + source gap",IF(I12&gt;'Portfolio data'!$U$18,"Stale source",IF(ABS(H12)&gt;'Portfolio data'!$U$19,"Source gap","Checks passed")))))))</x:f>
        <x:v>Checks passed</x:v>
      </x:c>
      <x:c r="K12" s="16" t="n">
        <x:f>COUNTIFS('Portfolio data'!$B$7:$B$54,$A12,'Portfolio data'!$C$7:$C$54,$B$5)</x:f>
        <x:v>1</x:v>
      </x:c>
      <x:c r="L12" s="16" t="n">
        <x:f>SUMIFS('Portfolio data'!$P$7:$P$54,'Portfolio data'!$B$7:$B$54,$A12,'Portfolio data'!$C$7:$C$54,$B$5)</x:f>
        <x:v>1</x:v>
      </x:c>
    </x:row>
    <x:row r="13" ht="24" customHeight="1">
      <x:c r="A13" s="2" t="str">
        <x:v>Cedar Supply</x:v>
      </x:c>
      <x:c r="B13" s="14" t="n">
        <x:f>IF(AND(K13=1,L13=1,ISNUMBER($E$5)),SUMIFS('Portfolio data'!$E$7:$E$54,'Portfolio data'!$B$7:$B$54,$A13,'Portfolio data'!$C$7:$C$54,$B$5),"n.a.")</x:f>
        <x:v>8730000</x:v>
      </x:c>
      <x:c r="C13" s="14" t="n">
        <x:f>IF(AND(K13=1,L13=1,ISNUMBER($E$5)),SUMIFS('Portfolio data'!$F$7:$F$54,'Portfolio data'!$B$7:$B$54,$A13,'Portfolio data'!$C$7:$C$54,$B$5),"n.a.")</x:f>
        <x:v>1309500</x:v>
      </x:c>
      <x:c r="D13" s="15" t="n">
        <x:f>IF(AND(ISNUMBER(B13),ISNUMBER(C13)),IF(B13&gt;0,C13/B13,"n.a."),"n.a.")</x:f>
        <x:v>0.15</x:v>
      </x:c>
      <x:c r="E13" s="14" t="n">
        <x:f>IF(AND(K13=1,L13=1,ISNUMBER($E$5)),SUMIFS('Portfolio data'!$H$7:$H$54,'Portfolio data'!$B$7:$B$54,$A13,'Portfolio data'!$C$7:$C$54,$B$5)+SUMIFS('Portfolio data'!$I$7:$I$54,'Portfolio data'!$B$7:$B$54,$A13,'Portfolio data'!$C$7:$C$54,$B$5)-SUMIFS('Portfolio data'!$J$7:$J$54,'Portfolio data'!$B$7:$B$54,$A13,'Portfolio data'!$C$7:$C$54,$B$5),"n.a.")</x:f>
        <x:v>1309500</x:v>
      </x:c>
      <x:c r="F13" s="14" t="n">
        <x:f>IF(AND(K13=1,L13=1,ISNUMBER($E$5)),SUMIFS('Portfolio data'!$G$7:$G$54,'Portfolio data'!$B$7:$B$54,$A13,'Portfolio data'!$C$7:$C$54,$B$5),"n.a.")</x:f>
        <x:v>8610000</x:v>
      </x:c>
      <x:c r="G13" s="14" t="n">
        <x:f>IF(AND(ISNUMBER(B13),ISNUMBER(F13)),B13-F13,"n.a.")</x:f>
        <x:v>120000</x:v>
      </x:c>
      <x:c r="H13" s="14" t="n">
        <x:f>IF(AND(K13=1,L13=1,ISNUMBER($E$5)),B13-SUMIFS('Portfolio data'!$K$7:$K$54,'Portfolio data'!$B$7:$B$54,$A13,'Portfolio data'!$C$7:$C$54,$B$5),"n.a.")</x:f>
        <x:v>25000</x:v>
      </x:c>
      <x:c r="I13" s="16" t="n">
        <x:f>IF(AND(K13=1,L13=1,ISNUMBER($E$5)),$E$5-SUMIFS('Portfolio data'!$L$7:$L$54,'Portfolio data'!$B$7:$B$54,$A13,'Portfolio data'!$C$7:$C$54,$B$5),"n.a.")</x:f>
        <x:v>10</x:v>
      </x:c>
      <x:c r="J13" s="17" t="str">
        <x:f>IF(K13&lt;&gt;1,"Missing / duplicate",IF(L13&lt;&gt;1,"Incomplete inputs",IF(NOT(ISNUMBER(I13)),"Invalid quarter",IF(I13&lt;0,"Future refresh date",IF(AND(I13&gt;'Portfolio data'!$U$18,ABS(H13)&gt;'Portfolio data'!$U$19),"Stale + source gap",IF(I13&gt;'Portfolio data'!$U$18,"Stale source",IF(ABS(H13)&gt;'Portfolio data'!$U$19,"Source gap","Checks passed")))))))</x:f>
        <x:v>Source gap</x:v>
      </x:c>
      <x:c r="K13" s="16" t="n">
        <x:f>COUNTIFS('Portfolio data'!$B$7:$B$54,$A13,'Portfolio data'!$C$7:$C$54,$B$5)</x:f>
        <x:v>1</x:v>
      </x:c>
      <x:c r="L13" s="16" t="n">
        <x:f>SUMIFS('Portfolio data'!$P$7:$P$54,'Portfolio data'!$B$7:$B$54,$A13,'Portfolio data'!$C$7:$C$54,$B$5)</x:f>
        <x:v>1</x:v>
      </x:c>
    </x:row>
    <x:row r="14" ht="24" customHeight="1">
      <x:c r="A14" s="2" t="str">
        <x:v>Dovetail Software</x:v>
      </x:c>
      <x:c r="B14" s="14" t="n">
        <x:f>IF(AND(K14=1,L14=1,ISNUMBER($E$5)),SUMIFS('Portfolio data'!$E$7:$E$54,'Portfolio data'!$B$7:$B$54,$A14,'Portfolio data'!$C$7:$C$54,$B$5),"n.a.")</x:f>
        <x:v>10570000</x:v>
      </x:c>
      <x:c r="C14" s="14" t="n">
        <x:f>IF(AND(K14=1,L14=1,ISNUMBER($E$5)),SUMIFS('Portfolio data'!$F$7:$F$54,'Portfolio data'!$B$7:$B$54,$A14,'Portfolio data'!$C$7:$C$54,$B$5),"n.a.")</x:f>
        <x:v>1849750</x:v>
      </x:c>
      <x:c r="D14" s="15" t="n">
        <x:f>IF(AND(ISNUMBER(B14),ISNUMBER(C14)),IF(B14&gt;0,C14/B14,"n.a."),"n.a.")</x:f>
        <x:v>0.175</x:v>
      </x:c>
      <x:c r="E14" s="14" t="n">
        <x:f>IF(AND(K14=1,L14=1,ISNUMBER($E$5)),SUMIFS('Portfolio data'!$H$7:$H$54,'Portfolio data'!$B$7:$B$54,$A14,'Portfolio data'!$C$7:$C$54,$B$5)+SUMIFS('Portfolio data'!$I$7:$I$54,'Portfolio data'!$B$7:$B$54,$A14,'Portfolio data'!$C$7:$C$54,$B$5)-SUMIFS('Portfolio data'!$J$7:$J$54,'Portfolio data'!$B$7:$B$54,$A14,'Portfolio data'!$C$7:$C$54,$B$5),"n.a.")</x:f>
        <x:v>739900</x:v>
      </x:c>
      <x:c r="F14" s="14" t="n">
        <x:f>IF(AND(K14=1,L14=1,ISNUMBER($E$5)),SUMIFS('Portfolio data'!$G$7:$G$54,'Portfolio data'!$B$7:$B$54,$A14,'Portfolio data'!$C$7:$C$54,$B$5),"n.a.")</x:f>
        <x:v>10750000</x:v>
      </x:c>
      <x:c r="G14" s="14" t="n">
        <x:f>IF(AND(ISNUMBER(B14),ISNUMBER(F14)),B14-F14,"n.a.")</x:f>
        <x:v>-180000</x:v>
      </x:c>
      <x:c r="H14" s="14" t="n">
        <x:f>IF(AND(K14=1,L14=1,ISNUMBER($E$5)),B14-SUMIFS('Portfolio data'!$K$7:$K$54,'Portfolio data'!$B$7:$B$54,$A14,'Portfolio data'!$C$7:$C$54,$B$5),"n.a.")</x:f>
        <x:v>0</x:v>
      </x:c>
      <x:c r="I14" s="16" t="n">
        <x:f>IF(AND(K14=1,L14=1,ISNUMBER($E$5)),$E$5-SUMIFS('Portfolio data'!$L$7:$L$54,'Portfolio data'!$B$7:$B$54,$A14,'Portfolio data'!$C$7:$C$54,$B$5),"n.a.")</x:f>
        <x:v>10</x:v>
      </x:c>
      <x:c r="J14" s="17" t="str">
        <x:f>IF(K14&lt;&gt;1,"Missing / duplicate",IF(L14&lt;&gt;1,"Incomplete inputs",IF(NOT(ISNUMBER(I14)),"Invalid quarter",IF(I14&lt;0,"Future refresh date",IF(AND(I14&gt;'Portfolio data'!$U$18,ABS(H14)&gt;'Portfolio data'!$U$19),"Stale + source gap",IF(I14&gt;'Portfolio data'!$U$18,"Stale source",IF(ABS(H14)&gt;'Portfolio data'!$U$19,"Source gap","Checks passed")))))))</x:f>
        <x:v>Checks passed</x:v>
      </x:c>
      <x:c r="K14" s="16" t="n">
        <x:f>COUNTIFS('Portfolio data'!$B$7:$B$54,$A14,'Portfolio data'!$C$7:$C$54,$B$5)</x:f>
        <x:v>1</x:v>
      </x:c>
      <x:c r="L14" s="16" t="n">
        <x:f>SUMIFS('Portfolio data'!$P$7:$P$54,'Portfolio data'!$B$7:$B$54,$A14,'Portfolio data'!$C$7:$C$54,$B$5)</x:f>
        <x:v>1</x:v>
      </x:c>
    </x:row>
    <x:row r="15" ht="24" customHeight="1">
      <x:c r="A15" s="2" t="str">
        <x:v>Elm Packaging</x:v>
      </x:c>
      <x:c r="B15" s="14" t="n">
        <x:f>IF(AND(K15=1,L15=1,ISNUMBER($E$5)),SUMIFS('Portfolio data'!$E$7:$E$54,'Portfolio data'!$B$7:$B$54,$A15,'Portfolio data'!$C$7:$C$54,$B$5),"n.a.")</x:f>
        <x:v>12410000</x:v>
      </x:c>
      <x:c r="C15" s="14" t="n">
        <x:f>IF(AND(K15=1,L15=1,ISNUMBER($E$5)),SUMIFS('Portfolio data'!$F$7:$F$54,'Portfolio data'!$B$7:$B$54,$A15,'Portfolio data'!$C$7:$C$54,$B$5),"n.a.")</x:f>
        <x:v>2482000</x:v>
      </x:c>
      <x:c r="D15" s="15" t="n">
        <x:f>IF(AND(ISNUMBER(B15),ISNUMBER(C15)),IF(B15&gt;0,C15/B15,"n.a."),"n.a.")</x:f>
        <x:v>0.2</x:v>
      </x:c>
      <x:c r="E15" s="14" t="n">
        <x:f>IF(AND(K15=1,L15=1,ISNUMBER($E$5)),SUMIFS('Portfolio data'!$H$7:$H$54,'Portfolio data'!$B$7:$B$54,$A15,'Portfolio data'!$C$7:$C$54,$B$5)+SUMIFS('Portfolio data'!$I$7:$I$54,'Portfolio data'!$B$7:$B$54,$A15,'Portfolio data'!$C$7:$C$54,$B$5)-SUMIFS('Portfolio data'!$J$7:$J$54,'Portfolio data'!$B$7:$B$54,$A15,'Portfolio data'!$C$7:$C$54,$B$5),"n.a.")</x:f>
        <x:v>1861500</x:v>
      </x:c>
      <x:c r="F15" s="14" t="n">
        <x:f>IF(AND(K15=1,L15=1,ISNUMBER($E$5)),SUMIFS('Portfolio data'!$G$7:$G$54,'Portfolio data'!$B$7:$B$54,$A15,'Portfolio data'!$C$7:$C$54,$B$5),"n.a.")</x:f>
        <x:v>12290000</x:v>
      </x:c>
      <x:c r="G15" s="14" t="n">
        <x:f>IF(AND(ISNUMBER(B15),ISNUMBER(F15)),B15-F15,"n.a.")</x:f>
        <x:v>120000</x:v>
      </x:c>
      <x:c r="H15" s="14" t="n">
        <x:f>IF(AND(K15=1,L15=1,ISNUMBER($E$5)),B15-SUMIFS('Portfolio data'!$K$7:$K$54,'Portfolio data'!$B$7:$B$54,$A15,'Portfolio data'!$C$7:$C$54,$B$5),"n.a.")</x:f>
        <x:v>0</x:v>
      </x:c>
      <x:c r="I15" s="16" t="n">
        <x:f>IF(AND(K15=1,L15=1,ISNUMBER($E$5)),$E$5-SUMIFS('Portfolio data'!$L$7:$L$54,'Portfolio data'!$B$7:$B$54,$A15,'Portfolio data'!$C$7:$C$54,$B$5),"n.a.")</x:f>
        <x:v>35</x:v>
      </x:c>
      <x:c r="J15" s="17" t="str">
        <x:f>IF(K15&lt;&gt;1,"Missing / duplicate",IF(L15&lt;&gt;1,"Incomplete inputs",IF(NOT(ISNUMBER(I15)),"Invalid quarter",IF(I15&lt;0,"Future refresh date",IF(AND(I15&gt;'Portfolio data'!$U$18,ABS(H15)&gt;'Portfolio data'!$U$19),"Stale + source gap",IF(I15&gt;'Portfolio data'!$U$18,"Stale source",IF(ABS(H15)&gt;'Portfolio data'!$U$19,"Source gap","Checks passed")))))))</x:f>
        <x:v>Stale source</x:v>
      </x:c>
      <x:c r="K15" s="16" t="n">
        <x:f>COUNTIFS('Portfolio data'!$B$7:$B$54,$A15,'Portfolio data'!$C$7:$C$54,$B$5)</x:f>
        <x:v>1</x:v>
      </x:c>
      <x:c r="L15" s="16" t="n">
        <x:f>SUMIFS('Portfolio data'!$P$7:$P$54,'Portfolio data'!$B$7:$B$54,$A15,'Portfolio data'!$C$7:$C$54,$B$5)</x:f>
        <x:v>1</x:v>
      </x:c>
    </x:row>
    <x:row r="16" ht="24" customHeight="1">
      <x:c r="A16" s="2" t="str">
        <x:v>Flint Logistics</x:v>
      </x:c>
      <x:c r="B16" s="14" t="n">
        <x:f>IF(AND(K16=1,L16=1,ISNUMBER($E$5)),SUMIFS('Portfolio data'!$E$7:$E$54,'Portfolio data'!$B$7:$B$54,$A16,'Portfolio data'!$C$7:$C$54,$B$5),"n.a.")</x:f>
        <x:v>14250000</x:v>
      </x:c>
      <x:c r="C16" s="14" t="n">
        <x:f>IF(AND(K16=1,L16=1,ISNUMBER($E$5)),SUMIFS('Portfolio data'!$F$7:$F$54,'Portfolio data'!$B$7:$B$54,$A16,'Portfolio data'!$C$7:$C$54,$B$5),"n.a.")</x:f>
        <x:v>3206250</x:v>
      </x:c>
      <x:c r="D16" s="15" t="n">
        <x:f>IF(AND(ISNUMBER(B16),ISNUMBER(C16)),IF(B16&gt;0,C16/B16,"n.a."),"n.a.")</x:f>
        <x:v>0.225</x:v>
      </x:c>
      <x:c r="E16" s="14" t="n">
        <x:f>IF(AND(K16=1,L16=1,ISNUMBER($E$5)),SUMIFS('Portfolio data'!$H$7:$H$54,'Portfolio data'!$B$7:$B$54,$A16,'Portfolio data'!$C$7:$C$54,$B$5)+SUMIFS('Portfolio data'!$I$7:$I$54,'Portfolio data'!$B$7:$B$54,$A16,'Portfolio data'!$C$7:$C$54,$B$5)-SUMIFS('Portfolio data'!$J$7:$J$54,'Portfolio data'!$B$7:$B$54,$A16,'Portfolio data'!$C$7:$C$54,$B$5),"n.a.")</x:f>
        <x:v>2137500</x:v>
      </x:c>
      <x:c r="F16" s="14" t="n">
        <x:f>IF(AND(K16=1,L16=1,ISNUMBER($E$5)),SUMIFS('Portfolio data'!$G$7:$G$54,'Portfolio data'!$B$7:$B$54,$A16,'Portfolio data'!$C$7:$C$54,$B$5),"n.a.")</x:f>
        <x:v>14430000</x:v>
      </x:c>
      <x:c r="G16" s="14" t="n">
        <x:f>IF(AND(ISNUMBER(B16),ISNUMBER(F16)),B16-F16,"n.a.")</x:f>
        <x:v>-180000</x:v>
      </x:c>
      <x:c r="H16" s="14" t="n">
        <x:f>IF(AND(K16=1,L16=1,ISNUMBER($E$5)),B16-SUMIFS('Portfolio data'!$K$7:$K$54,'Portfolio data'!$B$7:$B$54,$A16,'Portfolio data'!$C$7:$C$54,$B$5),"n.a.")</x:f>
        <x:v>0</x:v>
      </x:c>
      <x:c r="I16" s="16" t="n">
        <x:f>IF(AND(K16=1,L16=1,ISNUMBER($E$5)),$E$5-SUMIFS('Portfolio data'!$L$7:$L$54,'Portfolio data'!$B$7:$B$54,$A16,'Portfolio data'!$C$7:$C$54,$B$5),"n.a.")</x:f>
        <x:v>10</x:v>
      </x:c>
      <x:c r="J16" s="17" t="str">
        <x:f>IF(K16&lt;&gt;1,"Missing / duplicate",IF(L16&lt;&gt;1,"Incomplete inputs",IF(NOT(ISNUMBER(I16)),"Invalid quarter",IF(I16&lt;0,"Future refresh date",IF(AND(I16&gt;'Portfolio data'!$U$18,ABS(H16)&gt;'Portfolio data'!$U$19),"Stale + source gap",IF(I16&gt;'Portfolio data'!$U$18,"Stale source",IF(ABS(H16)&gt;'Portfolio data'!$U$19,"Source gap","Checks passed")))))))</x:f>
        <x:v>Checks passed</x:v>
      </x:c>
      <x:c r="K16" s="16" t="n">
        <x:f>COUNTIFS('Portfolio data'!$B$7:$B$54,$A16,'Portfolio data'!$C$7:$C$54,$B$5)</x:f>
        <x:v>1</x:v>
      </x:c>
      <x:c r="L16" s="16" t="n">
        <x:f>SUMIFS('Portfolio data'!$P$7:$P$54,'Portfolio data'!$B$7:$B$54,$A16,'Portfolio data'!$C$7:$C$54,$B$5)</x:f>
        <x:v>1</x:v>
      </x:c>
    </x:row>
    <x:row r="17" ht="24" customHeight="1">
      <x:c r="A17" s="23" t="str">
        <x:v>Portfolio total</x:v>
      </x:c>
      <x:c r="B17" s="24" t="n">
        <x:f>IF(COUNT(B11:B16)=6,SUM(B11:B16),"n.a.")</x:f>
        <x:v>57900000</x:v>
      </x:c>
      <x:c r="C17" s="24" t="n">
        <x:f>IF(COUNT(C11:C16)=6,SUM(C11:C16),"n.a.")</x:f>
        <x:v>10213750</x:v>
      </x:c>
      <x:c r="D17" s="25" t="n">
        <x:f>IF(AND(ISNUMBER(B17),ISNUMBER(C17)),IF(B17&gt;0,C17/B17,"n.a."),"n.a.")</x:f>
        <x:v>0.17640328151986184</x:v>
      </x:c>
      <x:c r="E17" s="24" t="n">
        <x:f>IF(COUNT(E11:E16)=6,SUM(E11:E16),"n.a.")</x:f>
        <x:v>7839400</x:v>
      </x:c>
      <x:c r="F17" s="24" t="n">
        <x:f>IF(COUNT(F11:F16)=6,SUM(F11:F16),"n.a.")</x:f>
        <x:v>58080000</x:v>
      </x:c>
      <x:c r="G17" s="24" t="n">
        <x:f>IF(COUNT(G11:G16)=6,SUM(G11:G16),"n.a.")</x:f>
        <x:v>-180000</x:v>
      </x:c>
      <x:c r="H17" s="24" t="n">
        <x:f>IF(COUNT(H11:H16)=6,SUM(H11:H16),"n.a.")</x:f>
        <x:v>25000</x:v>
      </x:c>
      <x:c r="I17" s="26"/>
      <x:c r="J17" s="27" t="str">
        <x:f>IF(COUNTIFS(J11:J16,"Checks passed")=6,"All source checks passed","Review exceptions")</x:f>
        <x:v>Review exceptions</x:v>
      </x:c>
      <x:c r="K17" s="26"/>
      <x:c r="L17" s="26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4" customHeight="1">
      <x:c r="A20" s="18" t="str">
        <x:v>Calculation notes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24" customHeight="1">
      <x:c r="A22" s="2" t="str">
        <x:v>EBITDA margin uses total EBITDA / total revenue. EBITDA is reported without discretionary add-backs.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24" customHeight="1">
      <x:c r="A23" s="2" t="str">
        <x:v>Working capital = receivables + inventory − payables at one quarter end. It excludes cash and debt.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24" customHeight="1">
      <x:c r="A24" s="2" t="str">
        <x:v>Revenue variance = actual − budget. Source gap = modeled revenue − submitted source revenue.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24" customHeight="1">
      <x:c r="A25" s="2" t="str">
        <x:v>Source age uses each quarter’s fixed review date. Thresholds on Portfolio data are demo assumptions.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4" customHeight="1">
      <x:c r="A26" s="2" t="str">
        <x:v>Missing, duplicate or nonnumeric source inputs return n.a. A nonpositive denominator also returns n.a.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4" customHeight="1">
      <x:c r="A27" s="2" t="str">
        <x:v>Source checks do not constitute reporting approval. Preserve an approved version outside this working example.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4" customHeight="1">
      <x:c r="A28" s="2" t="str">
        <x:v>All records share USD, one calendar and a constant perimeter. Acquisitions, FX and eliminations are excluded.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4" customHeight="1">
      <x:c r="A29" s="2" t="str">
        <x:v>Change a source value on Portfolio data to test an exception; restore the original record afterward.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4" customHeight="1">
      <x:c r="A30" s="2" t="str">
        <x:v>Permadyn Analytics · Private equity portfolio analytics and reporting implementation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</x:sheetData>
  <x:conditionalFormatting sqref="J11:J16">
    <x:cfRule type="expression" dxfId="0" priority="1">
      <x:formula>J11&lt;&gt;"Checks passed"</x:formula>
    </x:cfRule>
  </x:conditionalFormatting>
  <x:dataValidations count="1">
    <x:dataValidation type="list" sqref="B5">
      <x:formula1>"2024-Q3,2024-Q4,2025-Q1,2025-Q2,2025-Q3,2025-Q4,2026-Q1,2026-Q2"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52D37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9" hidden="0" customWidth="1"/>
    <x:col min="2" max="2" width="22" hidden="0" customWidth="1"/>
    <x:col min="3" max="3" width="3" hidden="0" customWidth="1"/>
    <x:col min="4" max="4" width="33" hidden="0" customWidth="1"/>
    <x:col min="5" max="5" width="20" hidden="0" customWidth="1"/>
    <x:col min="6" max="6" width="19" hidden="0" customWidth="1"/>
    <x:col min="7" max="7" width="2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4" customHeight="1">
      <x:c r="A2" s="3" t="str">
        <x:v>Private capital reporting</x:v>
      </x:c>
      <x:c r="B2" s="2"/>
      <x:c r="C2" s="2"/>
      <x:c r="D2" s="2"/>
      <x:c r="E2" s="2"/>
      <x:c r="F2" s="2"/>
      <x:c r="G2" s="2"/>
    </x:row>
    <x:row r="3" ht="24" customHeight="1">
      <x:c r="A3" s="4" t="str">
        <x:v>SYNTHETIC · Example Fund I · USD · Working example, not an approved investor report</x:v>
      </x:c>
      <x:c r="B3" s="2"/>
      <x:c r="C3" s="2"/>
      <x:c r="D3" s="2"/>
      <x:c r="E3" s="2"/>
      <x:c r="F3" s="2"/>
      <x:c r="G3" s="2"/>
    </x:row>
    <x:row r="4" ht="24" customHeight="1">
      <x:c r="A4" s="2"/>
      <x:c r="B4" s="2"/>
      <x:c r="C4" s="2"/>
      <x:c r="D4" s="2"/>
      <x:c r="E4" s="2"/>
      <x:c r="F4" s="2"/>
      <x:c r="G4" s="2"/>
    </x:row>
    <x:row r="5" ht="24" customHeight="1">
      <x:c r="A5" s="2" t="str">
        <x:v>Reporting quarter</x:v>
      </x:c>
      <x:c r="B5" s="13" t="str">
        <x:v>2026-Q2</x:v>
      </x:c>
      <x:c r="C5" s="2"/>
      <x:c r="D5" s="2"/>
      <x:c r="E5" s="2"/>
      <x:c r="F5" s="2" t="str">
        <x:v>Source row</x:v>
      </x:c>
      <x:c r="G5" s="2" t="n">
        <x:f>IF(COUNTIFS('Fund data'!$B$7:$B$14,B5)=1,MATCH(B5,'Fund data'!$B$7:$B$14,0),"n.a.")</x:f>
        <x:v>8</x:v>
      </x:c>
    </x:row>
    <x:row r="6" ht="24" customHeight="1">
      <x:c r="A6" s="2"/>
      <x:c r="B6" s="2"/>
      <x:c r="C6" s="2"/>
      <x:c r="D6" s="2"/>
      <x:c r="E6" s="2"/>
      <x:c r="F6" s="2"/>
      <x:c r="G6" s="2"/>
    </x:row>
    <x:row r="7" ht="38" customHeight="1">
      <x:c r="A7" s="7" t="str">
        <x:v>Since inception</x:v>
      </x:c>
      <x:c r="B7" s="7" t="str">
        <x:v>Amount / multiple</x:v>
      </x:c>
      <x:c r="C7" s="2"/>
      <x:c r="D7" s="7" t="str">
        <x:v>Quarterly NAV bridge</x:v>
      </x:c>
      <x:c r="E7" s="7" t="str">
        <x:v>USD</x:v>
      </x:c>
      <x:c r="F7" s="2"/>
      <x:c r="G7" s="2"/>
    </x:row>
    <x:row r="8" ht="24" customHeight="1">
      <x:c r="A8" s="2" t="str">
        <x:v>Paid-in capital</x:v>
      </x:c>
      <x:c r="B8" s="14" t="n">
        <x:f>IF(ISNUMBER($G$5),IF(ISNUMBER(INDEX('Fund data'!$N$7:$N$14,$G$5)),INDEX('Fund data'!$N$7:$N$14,$G$5),"n.a."),"n.a.")</x:f>
        <x:v>100000000</x:v>
      </x:c>
      <x:c r="C8" s="2"/>
      <x:c r="D8" s="2" t="str">
        <x:v>Opening NAV</x:v>
      </x:c>
      <x:c r="E8" s="14" t="n">
        <x:f>IF(ISNUMBER($G$5),IF(ISNUMBER(INDEX('Fund data'!$K$7:$K$14,$G$5)),INDEX('Fund data'!$K$7:$K$14,$G$5),"n.a."),"n.a.")</x:f>
        <x:v>101000000</x:v>
      </x:c>
      <x:c r="F8" s="2"/>
      <x:c r="G8" s="2"/>
    </x:row>
    <x:row r="9" ht="24" customHeight="1">
      <x:c r="A9" s="2" t="str">
        <x:v>Distributions</x:v>
      </x:c>
      <x:c r="B9" s="14" t="n">
        <x:f>IF(ISNUMBER($G$5),IF(ISNUMBER(INDEX('Fund data'!$O$7:$O$14,$G$5)),INDEX('Fund data'!$O$7:$O$14,$G$5),"n.a."),"n.a.")</x:f>
        <x:v>30000000</x:v>
      </x:c>
      <x:c r="C9" s="2"/>
      <x:c r="D9" s="2" t="str">
        <x:v>+ Contributions</x:v>
      </x:c>
      <x:c r="E9" s="14" t="n">
        <x:f>IF(ISNUMBER($G$5),IF(ISNUMBER(INDEX('Fund data'!$C$7:$C$14,$G$5)),INDEX('Fund data'!$C$7:$C$14,$G$5),"n.a."),"n.a.")</x:f>
        <x:v>10000000</x:v>
      </x:c>
      <x:c r="F9" s="2"/>
      <x:c r="G9" s="2"/>
    </x:row>
    <x:row r="10" ht="24" customHeight="1">
      <x:c r="A10" s="2" t="str">
        <x:v>Closing NAV</x:v>
      </x:c>
      <x:c r="B10" s="14" t="n">
        <x:f>IF(ISNUMBER($G$5),IF(ISNUMBER(INDEX('Fund data'!$F$7:$F$14,$G$5)),INDEX('Fund data'!$F$7:$F$14,$G$5),"n.a."),"n.a.")</x:f>
        <x:v>120000000</x:v>
      </x:c>
      <x:c r="C10" s="2"/>
      <x:c r="D10" s="2" t="str">
        <x:v>− Distributions</x:v>
      </x:c>
      <x:c r="E10" s="14" t="n">
        <x:f>IF(ISNUMBER($G$5),IF(ISNUMBER(INDEX('Fund data'!$D$7:$D$14,$G$5)),INDEX('Fund data'!$D$7:$D$14,$G$5),"n.a."),"n.a.")</x:f>
        <x:v>8000000</x:v>
      </x:c>
      <x:c r="F10" s="2"/>
      <x:c r="G10" s="2"/>
    </x:row>
    <x:row r="11" ht="24" customHeight="1">
      <x:c r="A11" s="2"/>
      <x:c r="B11" s="2"/>
      <x:c r="C11" s="2"/>
      <x:c r="D11" s="2" t="str">
        <x:v>+ Net change</x:v>
      </x:c>
      <x:c r="E11" s="14" t="n">
        <x:f>IF(ISNUMBER($G$5),IF(ISNUMBER(INDEX('Fund data'!$E$7:$E$14,$G$5)),INDEX('Fund data'!$E$7:$E$14,$G$5),"n.a."),"n.a.")</x:f>
        <x:v>17000000</x:v>
      </x:c>
      <x:c r="F11" s="2"/>
      <x:c r="G11" s="2"/>
    </x:row>
    <x:row r="12" ht="24" customHeight="1">
      <x:c r="A12" s="2" t="str">
        <x:v>DPI</x:v>
      </x:c>
      <x:c r="B12" s="33" t="n">
        <x:f>IF(AND(COUNT(B8:B10)=3,B8&gt;0),B9/B8,"n.a.")</x:f>
        <x:v>0.3</x:v>
      </x:c>
      <x:c r="C12" s="2"/>
      <x:c r="D12" s="2" t="str">
        <x:v>= Expected closing NAV</x:v>
      </x:c>
      <x:c r="E12" s="14" t="n">
        <x:f>IF(ISNUMBER($G$5),IF(ISNUMBER(INDEX('Fund data'!$L$7:$L$14,$G$5)),INDEX('Fund data'!$L$7:$L$14,$G$5),"n.a."),"n.a.")</x:f>
        <x:v>120000000</x:v>
      </x:c>
      <x:c r="F12" s="2"/>
      <x:c r="G12" s="2"/>
    </x:row>
    <x:row r="13" ht="24" customHeight="1">
      <x:c r="A13" s="2" t="str">
        <x:v>RVPI</x:v>
      </x:c>
      <x:c r="B13" s="33" t="n">
        <x:f>IF(AND(COUNT(B8:B10)=3,B8&gt;0),B10/B8,"n.a.")</x:f>
        <x:v>1.2</x:v>
      </x:c>
      <x:c r="C13" s="2"/>
      <x:c r="D13" s="2" t="str">
        <x:v>Reported closing NAV</x:v>
      </x:c>
      <x:c r="E13" s="14" t="n">
        <x:f>IF(ISNUMBER($G$5),IF(ISNUMBER(INDEX('Fund data'!$F$7:$F$14,$G$5)),INDEX('Fund data'!$F$7:$F$14,$G$5),"n.a."),"n.a.")</x:f>
        <x:v>120000000</x:v>
      </x:c>
      <x:c r="F13" s="2"/>
      <x:c r="G13" s="2"/>
    </x:row>
    <x:row r="14" ht="24" customHeight="1">
      <x:c r="A14" s="2" t="str">
        <x:v>TVPI</x:v>
      </x:c>
      <x:c r="B14" s="35" t="n">
        <x:f>IF(AND(COUNT(B8:B10)=3,B8&gt;0),SUM(B9:B10)/B8,"n.a.")</x:f>
        <x:v>1.5</x:v>
      </x:c>
      <x:c r="C14" s="2"/>
      <x:c r="D14" s="2" t="str">
        <x:v>Unexplained residual</x:v>
      </x:c>
      <x:c r="E14" s="36" t="n">
        <x:f>IF(ISNUMBER($G$5),IF(ISNUMBER(INDEX('Fund data'!$M$7:$M$14,$G$5)),INDEX('Fund data'!$M$7:$M$14,$G$5),"n.a."),"n.a.")</x:f>
        <x:v>0</x:v>
      </x:c>
      <x:c r="F14" s="2"/>
      <x:c r="G14" s="2"/>
    </x:row>
    <x:row r="15" ht="24" customHeight="1">
      <x:c r="A15" s="2"/>
      <x:c r="B15" s="2"/>
      <x:c r="C15" s="2"/>
      <x:c r="D15" s="2"/>
      <x:c r="E15" s="2"/>
      <x:c r="F15" s="2"/>
      <x:c r="G15" s="2"/>
    </x:row>
    <x:row r="16" ht="24" customHeight="1">
      <x:c r="A16" s="2"/>
      <x:c r="B16" s="2"/>
      <x:c r="C16" s="2"/>
      <x:c r="D16" s="2"/>
      <x:c r="E16" s="2"/>
      <x:c r="F16" s="2"/>
      <x:c r="G16" s="2"/>
    </x:row>
    <x:row r="17" ht="24" customHeight="1">
      <x:c r="A17" s="2" t="str">
        <x:f>IF(NOT(ISNUMBER(E14)),"NAV bridge unavailable: inspect missing source inputs",IF(E14&lt;&gt;0,"NAV bridge does not reconcile: review the residual","NAV arithmetic reconciles; source approval remains separate"))</x:f>
        <x:v>NAV arithmetic reconciles; source approval remains separate</x:v>
      </x:c>
      <x:c r="B17" s="2"/>
      <x:c r="C17" s="2"/>
      <x:c r="D17" s="2"/>
      <x:c r="E17" s="2"/>
      <x:c r="F17" s="2"/>
      <x:c r="G17" s="2"/>
    </x:row>
    <x:row r="18" ht="24" customHeight="1">
      <x:c r="A18" s="2"/>
      <x:c r="B18" s="2"/>
      <x:c r="C18" s="2"/>
      <x:c r="D18" s="2"/>
      <x:c r="E18" s="2"/>
      <x:c r="F18" s="2"/>
      <x:c r="G18" s="2"/>
    </x:row>
    <x:row r="19" ht="24" customHeight="1">
      <x:c r="A19" s="18" t="str">
        <x:v>Quarterly review checklist</x:v>
      </x:c>
      <x:c r="B19" s="2"/>
      <x:c r="C19" s="2"/>
      <x:c r="D19" s="2"/>
      <x:c r="E19" s="2"/>
      <x:c r="F19" s="2"/>
      <x:c r="G19" s="2"/>
    </x:row>
    <x:row r="20" ht="24" customHeight="1">
      <x:c r="A20" s="2" t="str">
        <x:v>Record review steps below. These selections do not change the source data or constitute a release approval.</x:v>
      </x:c>
      <x:c r="B20" s="2"/>
      <x:c r="C20" s="2"/>
      <x:c r="D20" s="2"/>
      <x:c r="E20" s="2"/>
      <x:c r="F20" s="2"/>
      <x:c r="G20" s="2"/>
    </x:row>
    <x:row r="21" ht="24" customHeight="1">
      <x:c r="A21" s="2"/>
      <x:c r="B21" s="2"/>
      <x:c r="C21" s="2"/>
      <x:c r="D21" s="2"/>
      <x:c r="E21" s="2"/>
      <x:c r="F21" s="2"/>
      <x:c r="G21" s="2"/>
    </x:row>
    <x:row r="22" ht="38" customHeight="1">
      <x:c r="A22" s="7" t="str">
        <x:v>Review step</x:v>
      </x:c>
      <x:c r="B22" s="7" t="str"/>
      <x:c r="C22" s="7" t="str"/>
      <x:c r="D22" s="7" t="str"/>
      <x:c r="E22" s="7" t="str"/>
      <x:c r="F22" s="7" t="str">
        <x:v>Review status</x:v>
      </x:c>
      <x:c r="G22" s="7" t="str">
        <x:v>Reviewer / note</x:v>
      </x:c>
    </x:row>
    <x:row r="23" ht="24" customHeight="1">
      <x:c r="A23" s="2" t="str">
        <x:v>1. Confirm fund, cutoff, currency, basis, and template version</x:v>
      </x:c>
      <x:c r="B23" s="2"/>
      <x:c r="C23" s="2"/>
      <x:c r="D23" s="2"/>
      <x:c r="E23" s="2"/>
      <x:c r="F23" s="34" t="str">
        <x:v>Not reviewed</x:v>
      </x:c>
      <x:c r="G23" s="34"/>
    </x:row>
    <x:row r="24" ht="24" customHeight="1">
      <x:c r="A24" s="2" t="str">
        <x:v>2. Confirm all expected sources and retain versions</x:v>
      </x:c>
      <x:c r="B24" s="2"/>
      <x:c r="C24" s="2"/>
      <x:c r="D24" s="2"/>
      <x:c r="E24" s="2"/>
      <x:c r="F24" s="34" t="str">
        <x:v>Not reviewed</x:v>
      </x:c>
      <x:c r="G24" s="34"/>
    </x:row>
    <x:row r="25" ht="24" customHeight="1">
      <x:c r="A25" s="2" t="str">
        <x:v>3. Reconcile cash movements and cumulative totals</x:v>
      </x:c>
      <x:c r="B25" s="2"/>
      <x:c r="C25" s="2"/>
      <x:c r="D25" s="2"/>
      <x:c r="E25" s="2"/>
      <x:c r="F25" s="34" t="str">
        <x:v>Not reviewed</x:v>
      </x:c>
      <x:c r="G25" s="34"/>
    </x:row>
    <x:row r="26" ht="24" customHeight="1">
      <x:c r="A26" s="2" t="str">
        <x:v>4. Explain the opening-to-closing NAV bridge</x:v>
      </x:c>
      <x:c r="B26" s="2"/>
      <x:c r="C26" s="2"/>
      <x:c r="D26" s="2"/>
      <x:c r="E26" s="2"/>
      <x:c r="F26" s="34" t="str">
        <x:v>Not reviewed</x:v>
      </x:c>
      <x:c r="G26" s="34"/>
    </x:row>
    <x:row r="27" ht="24" customHeight="1">
      <x:c r="A27" s="2" t="str">
        <x:v>5. Resolve missing inputs and denominator exceptions</x:v>
      </x:c>
      <x:c r="B27" s="2"/>
      <x:c r="C27" s="2"/>
      <x:c r="D27" s="2"/>
      <x:c r="E27" s="2"/>
      <x:c r="F27" s="34" t="str">
        <x:v>Not reviewed</x:v>
      </x:c>
      <x:c r="G27" s="34"/>
    </x:row>
    <x:row r="28" ht="24" customHeight="1">
      <x:c r="A28" s="2" t="str">
        <x:v>6. Review narrative and valuation evidence separately</x:v>
      </x:c>
      <x:c r="B28" s="2"/>
      <x:c r="C28" s="2"/>
      <x:c r="D28" s="2"/>
      <x:c r="E28" s="2"/>
      <x:c r="F28" s="34" t="str">
        <x:v>Not reviewed</x:v>
      </x:c>
      <x:c r="G28" s="34"/>
    </x:row>
    <x:row r="29" ht="24" customHeight="1">
      <x:c r="A29" s="2" t="str">
        <x:v>7. Approve an exact version before release</x:v>
      </x:c>
      <x:c r="B29" s="2"/>
      <x:c r="C29" s="2"/>
      <x:c r="D29" s="2"/>
      <x:c r="E29" s="2"/>
      <x:c r="F29" s="34" t="str">
        <x:v>Not reviewed</x:v>
      </x:c>
      <x:c r="G29" s="34"/>
    </x:row>
    <x:row r="30" ht="24" customHeight="1">
      <x:c r="A30" s="2" t="str">
        <x:v>8. Retain the released pack and controlled correction record</x:v>
      </x:c>
      <x:c r="B30" s="2"/>
      <x:c r="C30" s="2"/>
      <x:c r="D30" s="2"/>
      <x:c r="E30" s="2"/>
      <x:c r="F30" s="34" t="str">
        <x:v>Not reviewed</x:v>
      </x:c>
      <x:c r="G30" s="34"/>
    </x:row>
    <x:row r="31" ht="24" customHeight="1">
      <x:c r="A31" s="2"/>
      <x:c r="B31" s="2"/>
      <x:c r="C31" s="2"/>
      <x:c r="D31" s="2"/>
      <x:c r="E31" s="2"/>
      <x:c r="F31" s="2"/>
      <x:c r="G31" s="2"/>
    </x:row>
    <x:row r="32" ht="24" customHeight="1">
      <x:c r="A32" s="2" t="str">
        <x:f>IF(COUNTIFS(F23:F30,"Reviewed")=8,"All checklist steps recorded. Retain approval of the exact released version separately.","Review remains incomplete; resolve open items before release.")</x:f>
        <x:v>Review remains incomplete; resolve open items before release.</x:v>
      </x:c>
      <x:c r="B32" s="2"/>
      <x:c r="C32" s="2"/>
      <x:c r="D32" s="2"/>
      <x:c r="E32" s="2"/>
      <x:c r="F32" s="2"/>
      <x:c r="G32" s="2"/>
    </x:row>
    <x:row r="33" ht="24" customHeight="1">
      <x:c r="A33" s="2"/>
      <x:c r="B33" s="2"/>
      <x:c r="C33" s="2"/>
      <x:c r="D33" s="2"/>
      <x:c r="E33" s="2"/>
      <x:c r="F33" s="2"/>
      <x:c r="G33" s="2"/>
    </x:row>
    <x:row r="34" ht="24" customHeight="1">
      <x:c r="A34" s="18" t="str">
        <x:v>Calculation notes</x:v>
      </x:c>
      <x:c r="B34" s="2"/>
      <x:c r="C34" s="2"/>
      <x:c r="D34" s="2"/>
      <x:c r="E34" s="2"/>
      <x:c r="F34" s="2"/>
      <x:c r="G34" s="2"/>
    </x:row>
    <x:row r="35" ht="24" customHeight="1">
      <x:c r="A35" s="2" t="str">
        <x:v>Contributions and distributions accumulate through the cutoff. NAV is one closing snapshot, never a sum of quarters.</x:v>
      </x:c>
      <x:c r="B35" s="2"/>
      <x:c r="C35" s="2"/>
      <x:c r="D35" s="2"/>
      <x:c r="E35" s="2"/>
      <x:c r="F35" s="2"/>
      <x:c r="G35" s="2"/>
    </x:row>
    <x:row r="36" ht="24" customHeight="1">
      <x:c r="A36" s="2" t="str">
        <x:v>DPI = distributions / paid-in capital. RVPI = NAV / paid-in capital. TVPI = (distributions + NAV) / paid-in capital.</x:v>
      </x:c>
      <x:c r="B36" s="2"/>
      <x:c r="C36" s="2"/>
      <x:c r="D36" s="2"/>
      <x:c r="E36" s="2"/>
      <x:c r="F36" s="2"/>
      <x:c r="G36" s="2"/>
    </x:row>
    <x:row r="37" ht="24" customHeight="1">
      <x:c r="A37" s="2" t="str">
        <x:v>A missing numeric input or nonpositive paid-in denominator returns n.a. Multiples are not annualized returns.</x:v>
      </x:c>
      <x:c r="B37" s="2"/>
      <x:c r="C37" s="2"/>
      <x:c r="D37" s="2"/>
      <x:c r="E37" s="2"/>
      <x:c r="F37" s="2"/>
      <x:c r="G37" s="2"/>
    </x:row>
    <x:row r="38" ht="24" customHeight="1">
      <x:c r="A38" s="2" t="str">
        <x:v>The NAV bridge is opening NAV + contributions − distributions + net valuation and operating change.</x:v>
      </x:c>
      <x:c r="B38" s="2"/>
      <x:c r="C38" s="2"/>
      <x:c r="D38" s="2"/>
      <x:c r="E38" s="2"/>
      <x:c r="F38" s="2"/>
      <x:c r="G38" s="2"/>
    </x:row>
    <x:row r="39" ht="24" customHeight="1">
      <x:c r="A39" s="2" t="str">
        <x:v>Inspect Fund data for source IDs, basis, exclusions and mapping. The source approval flag remains false in this demo.</x:v>
      </x:c>
      <x:c r="B39" s="2"/>
      <x:c r="C39" s="2"/>
      <x:c r="D39" s="2"/>
      <x:c r="E39" s="2"/>
      <x:c r="F39" s="2"/>
      <x:c r="G39" s="2"/>
    </x:row>
    <x:row r="40" ht="24" customHeight="1">
      <x:c r="A40" s="2" t="str">
        <x:v>Permadyn Analytics · Private capital reporting and analytics implementation</x:v>
      </x:c>
      <x:c r="B40" s="2"/>
      <x:c r="C40" s="2"/>
      <x:c r="D40" s="2"/>
      <x:c r="E40" s="2"/>
      <x:c r="F40" s="2"/>
      <x:c r="G40" s="2"/>
    </x:row>
    <x:row r="41" ht="24" customHeight="1">
      <x:c r="A41" s="2"/>
      <x:c r="B41" s="2"/>
      <x:c r="C41" s="2"/>
      <x:c r="D41" s="2"/>
      <x:c r="E41" s="2"/>
      <x:c r="F41" s="2"/>
      <x:c r="G41" s="2"/>
    </x:row>
  </x:sheetData>
  <x:conditionalFormatting sqref="E14:E14">
    <x:cfRule type="expression" dxfId="1" priority="1">
      <x:formula>AND(ISNUMBER(E14),E14&lt;&gt;0)</x:formula>
    </x:cfRule>
  </x:conditionalFormatting>
  <x:dataValidations count="9">
    <x:dataValidation type="list" sqref="B5">
      <x:formula1>"2024-Q3,2024-Q4,2025-Q1,2025-Q2,2025-Q3,2025-Q4,2026-Q1,2026-Q2"</x:formula1>
    </x:dataValidation>
    <x:dataValidation type="list" sqref="F23">
      <x:formula1>"Not reviewed,Reviewed,Issue open"</x:formula1>
    </x:dataValidation>
    <x:dataValidation type="list" sqref="F24">
      <x:formula1>"Not reviewed,Reviewed,Issue open"</x:formula1>
    </x:dataValidation>
    <x:dataValidation type="list" sqref="F25">
      <x:formula1>"Not reviewed,Reviewed,Issue open"</x:formula1>
    </x:dataValidation>
    <x:dataValidation type="list" sqref="F26">
      <x:formula1>"Not reviewed,Reviewed,Issue open"</x:formula1>
    </x:dataValidation>
    <x:dataValidation type="list" sqref="F27">
      <x:formula1>"Not reviewed,Reviewed,Issue open"</x:formula1>
    </x:dataValidation>
    <x:dataValidation type="list" sqref="F28">
      <x:formula1>"Not reviewed,Reviewed,Issue open"</x:formula1>
    </x:dataValidation>
    <x:dataValidation type="list" sqref="F29">
      <x:formula1>"Not reviewed,Reviewed,Issue open"</x:formula1>
    </x:dataValidation>
    <x:dataValidation type="list" sqref="F30">
      <x:formula1>"Not reviewed,Reviewed,Issue open"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3724B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28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23" hidden="0" customWidth="1"/>
    <x:col min="14" max="14" width="42" hidden="0" customWidth="1"/>
    <x:col min="15" max="15" width="42" hidden="0" customWidth="1"/>
    <x:col min="16" max="16" width="16" hidden="0" customWidth="1"/>
    <x:col min="17" max="17" width="28" hidden="0" customWidth="1"/>
    <x:col min="18" max="18" width="16" hidden="0" customWidth="1"/>
    <x:col min="19" max="19" width="16" hidden="0" customWidth="1"/>
    <x:col min="20" max="20" width="28" hidden="0" customWidth="1"/>
    <x:col min="21" max="21" width="16" hidden="0" customWidth="1"/>
    <x:col min="22" max="22" width="16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</x:row>
    <x:row r="2" ht="24" customHeight="1">
      <x:c r="A2" s="3" t="str">
        <x:v>Portfolio source records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</x:row>
    <x:row r="3" ht="24" customHeight="1">
      <x:c r="A3" s="4" t="str">
        <x:v>SYNTHETIC · 48 company-quarter records · USD · constant six-company perimeter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</x:row>
    <x:row r="4" ht="24" customHeight="1">
      <x:c r="A4" s="2" t="str">
        <x:v>Source: https://permadynanalytics.com/downloads/private-equity/portfolio-operations.json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</x:row>
    <x:row r="6" ht="38" customHeight="1">
      <x:c r="A6" s="7" t="str">
        <x:v>Company ID</x:v>
      </x:c>
      <x:c r="B6" s="7" t="str">
        <x:v>Company</x:v>
      </x:c>
      <x:c r="C6" s="7" t="str">
        <x:v>Quarter</x:v>
      </x:c>
      <x:c r="D6" s="7" t="str">
        <x:v>Currency</x:v>
      </x:c>
      <x:c r="E6" s="7" t="str">
        <x:v>Revenue</x:v>
      </x:c>
      <x:c r="F6" s="7" t="str">
        <x:v>EBITDA</x:v>
      </x:c>
      <x:c r="G6" s="7" t="str">
        <x:v>Budget revenue</x:v>
      </x:c>
      <x:c r="H6" s="7" t="str">
        <x:v>Receivables</x:v>
      </x:c>
      <x:c r="I6" s="7" t="str">
        <x:v>Inventory</x:v>
      </x:c>
      <x:c r="J6" s="7" t="str">
        <x:v>Payables</x:v>
      </x:c>
      <x:c r="K6" s="7" t="str">
        <x:v>Source revenue</x:v>
      </x:c>
      <x:c r="L6" s="7" t="str">
        <x:v>Refreshed</x:v>
      </x:c>
      <x:c r="M6" s="7" t="str">
        <x:v>Source ID</x:v>
      </x:c>
      <x:c r="N6" s="7" t="str">
        <x:v>Owner</x:v>
      </x:c>
      <x:c r="O6" s="7" t="str">
        <x:v>Source status</x:v>
      </x:c>
      <x:c r="P6" s="7" t="str">
        <x:v>Required inputs valid</x:v>
      </x:c>
      <x:c r="Q6" s="7" t="str">
        <x:v>Company / quarter key</x:v>
      </x:c>
      <x:c r="R6" s="2"/>
      <x:c r="S6" s="2"/>
      <x:c r="T6" s="7" t="str">
        <x:v>Quarter</x:v>
      </x:c>
      <x:c r="U6" s="7" t="str">
        <x:v>Quarter end</x:v>
      </x:c>
      <x:c r="V6" s="7" t="str">
        <x:v>Fixed review date</x:v>
      </x:c>
    </x:row>
    <x:row r="7" ht="24" customHeight="1">
      <x:c r="A7" s="8" t="str">
        <x:v>demo-1</x:v>
      </x:c>
      <x:c r="B7" s="8" t="str">
        <x:v>Alder Components</x:v>
      </x:c>
      <x:c r="C7" s="8" t="str">
        <x:v>2024-Q3</x:v>
      </x:c>
      <x:c r="D7" s="8" t="str">
        <x:v>USD</x:v>
      </x:c>
      <x:c r="E7" s="9" t="n">
        <x:v>4000000</x:v>
      </x:c>
      <x:c r="F7" s="9" t="n">
        <x:v>380000</x:v>
      </x:c>
      <x:c r="G7" s="9" t="n">
        <x:v>3880000</x:v>
      </x:c>
      <x:c r="H7" s="9" t="n">
        <x:v>720000</x:v>
      </x:c>
      <x:c r="I7" s="9" t="n">
        <x:v>360000</x:v>
      </x:c>
      <x:c r="J7" s="9" t="n">
        <x:v>480000</x:v>
      </x:c>
      <x:c r="K7" s="9" t="n">
        <x:v>4000000</x:v>
      </x:c>
      <x:c r="L7" s="10" t="n">
        <x:v>45570</x:v>
      </x:c>
      <x:c r="M7" s="8" t="str">
        <x:v>SYN-1-2024-Q3</x:v>
      </x:c>
      <x:c r="N7" s="8" t="str">
        <x:v>Alder Components controller (fictional)</x:v>
      </x:c>
      <x:c r="O7" s="8" t="str">
        <x:v>Checks passed: synthetic working view</x:v>
      </x:c>
      <x:c r="P7" s="2" t="n">
        <x:f>IF(AND(COUNT(E7:K7)=7,ISNUMBER(L7),D7="USD",M7&lt;&gt;"",B7&lt;&gt;"",C7&lt;&gt;""),1,0)</x:f>
        <x:v>1</x:v>
      </x:c>
      <x:c r="Q7" s="2" t="str">
        <x:f>B7&amp;"|"&amp;C7</x:f>
        <x:v>Alder Components|2024-Q3</x:v>
      </x:c>
      <x:c r="R7" s="2"/>
      <x:c r="S7" s="2"/>
      <x:c r="T7" s="8" t="str">
        <x:v>2024-Q3</x:v>
      </x:c>
      <x:c r="U7" s="10" t="n">
        <x:v>45565</x:v>
      </x:c>
      <x:c r="V7" s="10" t="n">
        <x:v>45580</x:v>
      </x:c>
    </x:row>
    <x:row r="8" ht="24" customHeight="1">
      <x:c r="A8" s="8" t="str">
        <x:v>demo-2</x:v>
      </x:c>
      <x:c r="B8" s="8" t="str">
        <x:v>Briar Field Services</x:v>
      </x:c>
      <x:c r="C8" s="8" t="str">
        <x:v>2024-Q3</x:v>
      </x:c>
      <x:c r="D8" s="8" t="str">
        <x:v>USD</x:v>
      </x:c>
      <x:c r="E8" s="9" t="n">
        <x:v>5700000</x:v>
      </x:c>
      <x:c r="F8" s="9" t="n">
        <x:v>684000</x:v>
      </x:c>
      <x:c r="G8" s="9" t="n">
        <x:v>5880000</x:v>
      </x:c>
      <x:c r="H8" s="9" t="n">
        <x:v>1026000</x:v>
      </x:c>
      <x:c r="I8" s="9" t="n">
        <x:v>513000</x:v>
      </x:c>
      <x:c r="J8" s="9" t="n">
        <x:v>684000</x:v>
      </x:c>
      <x:c r="K8" s="9" t="n">
        <x:v>5700000</x:v>
      </x:c>
      <x:c r="L8" s="10" t="n">
        <x:v>45570</x:v>
      </x:c>
      <x:c r="M8" s="8" t="str">
        <x:v>SYN-2-2024-Q3</x:v>
      </x:c>
      <x:c r="N8" s="8" t="str">
        <x:v>Briar Field Services controller (fictional)</x:v>
      </x:c>
      <x:c r="O8" s="8" t="str">
        <x:v>Checks passed: synthetic working view</x:v>
      </x:c>
      <x:c r="P8" s="2" t="n">
        <x:f>IF(AND(COUNT(E8:K8)=7,ISNUMBER(L8),D8="USD",M8&lt;&gt;"",B8&lt;&gt;"",C8&lt;&gt;""),1,0)</x:f>
        <x:v>1</x:v>
      </x:c>
      <x:c r="Q8" s="2" t="str">
        <x:f>B8&amp;"|"&amp;C8</x:f>
        <x:v>Briar Field Services|2024-Q3</x:v>
      </x:c>
      <x:c r="R8" s="2"/>
      <x:c r="S8" s="2"/>
      <x:c r="T8" s="8" t="str">
        <x:v>2024-Q4</x:v>
      </x:c>
      <x:c r="U8" s="10" t="n">
        <x:v>45657</x:v>
      </x:c>
      <x:c r="V8" s="10" t="n">
        <x:v>45672</x:v>
      </x:c>
    </x:row>
    <x:row r="9" ht="24" customHeight="1">
      <x:c r="A9" s="8" t="str">
        <x:v>demo-3</x:v>
      </x:c>
      <x:c r="B9" s="8" t="str">
        <x:v>Cedar Supply</x:v>
      </x:c>
      <x:c r="C9" s="8" t="str">
        <x:v>2024-Q3</x:v>
      </x:c>
      <x:c r="D9" s="8" t="str">
        <x:v>USD</x:v>
      </x:c>
      <x:c r="E9" s="9" t="n">
        <x:v>7400000</x:v>
      </x:c>
      <x:c r="F9" s="9" t="n">
        <x:v>1073000</x:v>
      </x:c>
      <x:c r="G9" s="9" t="n">
        <x:v>7280000</x:v>
      </x:c>
      <x:c r="H9" s="9" t="n">
        <x:v>1332000</x:v>
      </x:c>
      <x:c r="I9" s="9" t="n">
        <x:v>666000</x:v>
      </x:c>
      <x:c r="J9" s="9" t="n">
        <x:v>888000</x:v>
      </x:c>
      <x:c r="K9" s="9" t="n">
        <x:v>7400000</x:v>
      </x:c>
      <x:c r="L9" s="10" t="n">
        <x:v>45570</x:v>
      </x:c>
      <x:c r="M9" s="8" t="str">
        <x:v>SYN-3-2024-Q3</x:v>
      </x:c>
      <x:c r="N9" s="8" t="str">
        <x:v>Cedar Supply controller (fictional)</x:v>
      </x:c>
      <x:c r="O9" s="8" t="str">
        <x:v>Checks passed: synthetic working view</x:v>
      </x:c>
      <x:c r="P9" s="2" t="n">
        <x:f>IF(AND(COUNT(E9:K9)=7,ISNUMBER(L9),D9="USD",M9&lt;&gt;"",B9&lt;&gt;"",C9&lt;&gt;""),1,0)</x:f>
        <x:v>1</x:v>
      </x:c>
      <x:c r="Q9" s="2" t="str">
        <x:f>B9&amp;"|"&amp;C9</x:f>
        <x:v>Cedar Supply|2024-Q3</x:v>
      </x:c>
      <x:c r="R9" s="2"/>
      <x:c r="S9" s="2"/>
      <x:c r="T9" s="8" t="str">
        <x:v>2025-Q1</x:v>
      </x:c>
      <x:c r="U9" s="10" t="n">
        <x:v>45747</x:v>
      </x:c>
      <x:c r="V9" s="10" t="n">
        <x:v>45762</x:v>
      </x:c>
    </x:row>
    <x:row r="10" ht="24" customHeight="1">
      <x:c r="A10" s="8" t="str">
        <x:v>demo-4</x:v>
      </x:c>
      <x:c r="B10" s="8" t="str">
        <x:v>Dovetail Software</x:v>
      </x:c>
      <x:c r="C10" s="8" t="str">
        <x:v>2024-Q3</x:v>
      </x:c>
      <x:c r="D10" s="8" t="str">
        <x:v>USD</x:v>
      </x:c>
      <x:c r="E10" s="9" t="n">
        <x:v>9100000</x:v>
      </x:c>
      <x:c r="F10" s="9" t="n">
        <x:v>1547000</x:v>
      </x:c>
      <x:c r="G10" s="9" t="n">
        <x:v>9280000</x:v>
      </x:c>
      <x:c r="H10" s="9" t="n">
        <x:v>1638000</x:v>
      </x:c>
      <x:c r="I10" s="9" t="n">
        <x:v>91000</x:v>
      </x:c>
      <x:c r="J10" s="9" t="n">
        <x:v>1092000</x:v>
      </x:c>
      <x:c r="K10" s="9" t="n">
        <x:v>9100000</x:v>
      </x:c>
      <x:c r="L10" s="10" t="n">
        <x:v>45570</x:v>
      </x:c>
      <x:c r="M10" s="8" t="str">
        <x:v>SYN-4-2024-Q3</x:v>
      </x:c>
      <x:c r="N10" s="8" t="str">
        <x:v>Dovetail Software controller (fictional)</x:v>
      </x:c>
      <x:c r="O10" s="8" t="str">
        <x:v>Checks passed: synthetic working view</x:v>
      </x:c>
      <x:c r="P10" s="2" t="n">
        <x:f>IF(AND(COUNT(E10:K10)=7,ISNUMBER(L10),D10="USD",M10&lt;&gt;"",B10&lt;&gt;"",C10&lt;&gt;""),1,0)</x:f>
        <x:v>1</x:v>
      </x:c>
      <x:c r="Q10" s="2" t="str">
        <x:f>B10&amp;"|"&amp;C10</x:f>
        <x:v>Dovetail Software|2024-Q3</x:v>
      </x:c>
      <x:c r="R10" s="2"/>
      <x:c r="S10" s="2"/>
      <x:c r="T10" s="8" t="str">
        <x:v>2025-Q2</x:v>
      </x:c>
      <x:c r="U10" s="10" t="n">
        <x:v>45838</x:v>
      </x:c>
      <x:c r="V10" s="10" t="n">
        <x:v>45853</x:v>
      </x:c>
    </x:row>
    <x:row r="11" ht="24" customHeight="1">
      <x:c r="A11" s="8" t="str">
        <x:v>demo-5</x:v>
      </x:c>
      <x:c r="B11" s="8" t="str">
        <x:v>Elm Packaging</x:v>
      </x:c>
      <x:c r="C11" s="8" t="str">
        <x:v>2024-Q3</x:v>
      </x:c>
      <x:c r="D11" s="8" t="str">
        <x:v>USD</x:v>
      </x:c>
      <x:c r="E11" s="9" t="n">
        <x:v>10800000</x:v>
      </x:c>
      <x:c r="F11" s="9" t="n">
        <x:v>2106000</x:v>
      </x:c>
      <x:c r="G11" s="9" t="n">
        <x:v>10680000</x:v>
      </x:c>
      <x:c r="H11" s="9" t="n">
        <x:v>1944000</x:v>
      </x:c>
      <x:c r="I11" s="9" t="n">
        <x:v>972000</x:v>
      </x:c>
      <x:c r="J11" s="9" t="n">
        <x:v>1296000</x:v>
      </x:c>
      <x:c r="K11" s="9" t="n">
        <x:v>10800000</x:v>
      </x:c>
      <x:c r="L11" s="10" t="n">
        <x:v>45570</x:v>
      </x:c>
      <x:c r="M11" s="8" t="str">
        <x:v>SYN-5-2024-Q3</x:v>
      </x:c>
      <x:c r="N11" s="8" t="str">
        <x:v>Elm Packaging controller (fictional)</x:v>
      </x:c>
      <x:c r="O11" s="8" t="str">
        <x:v>Checks passed: synthetic working view</x:v>
      </x:c>
      <x:c r="P11" s="2" t="n">
        <x:f>IF(AND(COUNT(E11:K11)=7,ISNUMBER(L11),D11="USD",M11&lt;&gt;"",B11&lt;&gt;"",C11&lt;&gt;""),1,0)</x:f>
        <x:v>1</x:v>
      </x:c>
      <x:c r="Q11" s="2" t="str">
        <x:f>B11&amp;"|"&amp;C11</x:f>
        <x:v>Elm Packaging|2024-Q3</x:v>
      </x:c>
      <x:c r="R11" s="2"/>
      <x:c r="S11" s="2"/>
      <x:c r="T11" s="8" t="str">
        <x:v>2025-Q3</x:v>
      </x:c>
      <x:c r="U11" s="10" t="n">
        <x:v>45930</x:v>
      </x:c>
      <x:c r="V11" s="10" t="n">
        <x:v>45945</x:v>
      </x:c>
    </x:row>
    <x:row r="12" ht="24" customHeight="1">
      <x:c r="A12" s="8" t="str">
        <x:v>demo-6</x:v>
      </x:c>
      <x:c r="B12" s="8" t="str">
        <x:v>Flint Logistics</x:v>
      </x:c>
      <x:c r="C12" s="8" t="str">
        <x:v>2024-Q3</x:v>
      </x:c>
      <x:c r="D12" s="8" t="str">
        <x:v>USD</x:v>
      </x:c>
      <x:c r="E12" s="9" t="n">
        <x:v>12500000</x:v>
      </x:c>
      <x:c r="F12" s="9" t="n">
        <x:v>2750000</x:v>
      </x:c>
      <x:c r="G12" s="9" t="n">
        <x:v>12680000</x:v>
      </x:c>
      <x:c r="H12" s="9" t="n">
        <x:v>2250000</x:v>
      </x:c>
      <x:c r="I12" s="9" t="n">
        <x:v>1125000</x:v>
      </x:c>
      <x:c r="J12" s="9" t="n">
        <x:v>1500000</x:v>
      </x:c>
      <x:c r="K12" s="9" t="n">
        <x:v>12500000</x:v>
      </x:c>
      <x:c r="L12" s="10" t="n">
        <x:v>45570</x:v>
      </x:c>
      <x:c r="M12" s="8" t="str">
        <x:v>SYN-6-2024-Q3</x:v>
      </x:c>
      <x:c r="N12" s="8" t="str">
        <x:v>Flint Logistics controller (fictional)</x:v>
      </x:c>
      <x:c r="O12" s="8" t="str">
        <x:v>Checks passed: synthetic working view</x:v>
      </x:c>
      <x:c r="P12" s="2" t="n">
        <x:f>IF(AND(COUNT(E12:K12)=7,ISNUMBER(L12),D12="USD",M12&lt;&gt;"",B12&lt;&gt;"",C12&lt;&gt;""),1,0)</x:f>
        <x:v>1</x:v>
      </x:c>
      <x:c r="Q12" s="2" t="str">
        <x:f>B12&amp;"|"&amp;C12</x:f>
        <x:v>Flint Logistics|2024-Q3</x:v>
      </x:c>
      <x:c r="R12" s="2"/>
      <x:c r="S12" s="2"/>
      <x:c r="T12" s="8" t="str">
        <x:v>2025-Q4</x:v>
      </x:c>
      <x:c r="U12" s="10" t="n">
        <x:v>46022</x:v>
      </x:c>
      <x:c r="V12" s="10" t="n">
        <x:v>46037</x:v>
      </x:c>
    </x:row>
    <x:row r="13" ht="24" customHeight="1">
      <x:c r="A13" s="8" t="str">
        <x:v>demo-1</x:v>
      </x:c>
      <x:c r="B13" s="8" t="str">
        <x:v>Alder Components</x:v>
      </x:c>
      <x:c r="C13" s="8" t="str">
        <x:v>2024-Q4</x:v>
      </x:c>
      <x:c r="D13" s="8" t="str">
        <x:v>USD</x:v>
      </x:c>
      <x:c r="E13" s="9" t="n">
        <x:v>4150000</x:v>
      </x:c>
      <x:c r="F13" s="9" t="n">
        <x:v>415000</x:v>
      </x:c>
      <x:c r="G13" s="9" t="n">
        <x:v>4030000</x:v>
      </x:c>
      <x:c r="H13" s="9" t="n">
        <x:v>747000</x:v>
      </x:c>
      <x:c r="I13" s="9" t="n">
        <x:v>373500</x:v>
      </x:c>
      <x:c r="J13" s="9" t="n">
        <x:v>498000</x:v>
      </x:c>
      <x:c r="K13" s="9" t="n">
        <x:v>4150000</x:v>
      </x:c>
      <x:c r="L13" s="10" t="n">
        <x:v>45662</x:v>
      </x:c>
      <x:c r="M13" s="8" t="str">
        <x:v>SYN-1-2024-Q4</x:v>
      </x:c>
      <x:c r="N13" s="8" t="str">
        <x:v>Alder Components controller (fictional)</x:v>
      </x:c>
      <x:c r="O13" s="8" t="str">
        <x:v>Checks passed: synthetic working view</x:v>
      </x:c>
      <x:c r="P13" s="2" t="n">
        <x:f>IF(AND(COUNT(E13:K13)=7,ISNUMBER(L13),D13="USD",M13&lt;&gt;"",B13&lt;&gt;"",C13&lt;&gt;""),1,0)</x:f>
        <x:v>1</x:v>
      </x:c>
      <x:c r="Q13" s="2" t="str">
        <x:f>B13&amp;"|"&amp;C13</x:f>
        <x:v>Alder Components|2024-Q4</x:v>
      </x:c>
      <x:c r="R13" s="2"/>
      <x:c r="S13" s="2"/>
      <x:c r="T13" s="8" t="str">
        <x:v>2026-Q1</x:v>
      </x:c>
      <x:c r="U13" s="10" t="n">
        <x:v>46112</x:v>
      </x:c>
      <x:c r="V13" s="10" t="n">
        <x:v>46127</x:v>
      </x:c>
    </x:row>
    <x:row r="14" ht="24" customHeight="1">
      <x:c r="A14" s="8" t="str">
        <x:v>demo-2</x:v>
      </x:c>
      <x:c r="B14" s="8" t="str">
        <x:v>Briar Field Services</x:v>
      </x:c>
      <x:c r="C14" s="8" t="str">
        <x:v>2024-Q4</x:v>
      </x:c>
      <x:c r="D14" s="8" t="str">
        <x:v>USD</x:v>
      </x:c>
      <x:c r="E14" s="9" t="n">
        <x:v>5870000</x:v>
      </x:c>
      <x:c r="F14" s="9" t="n">
        <x:v>733750</x:v>
      </x:c>
      <x:c r="G14" s="9" t="n">
        <x:v>6050000</x:v>
      </x:c>
      <x:c r="H14" s="9" t="n">
        <x:v>1056600</x:v>
      </x:c>
      <x:c r="I14" s="9" t="n">
        <x:v>528300</x:v>
      </x:c>
      <x:c r="J14" s="9" t="n">
        <x:v>704400</x:v>
      </x:c>
      <x:c r="K14" s="9" t="n">
        <x:v>5870000</x:v>
      </x:c>
      <x:c r="L14" s="10" t="n">
        <x:v>45662</x:v>
      </x:c>
      <x:c r="M14" s="8" t="str">
        <x:v>SYN-2-2024-Q4</x:v>
      </x:c>
      <x:c r="N14" s="8" t="str">
        <x:v>Briar Field Services controller (fictional)</x:v>
      </x:c>
      <x:c r="O14" s="8" t="str">
        <x:v>Checks passed: synthetic working view</x:v>
      </x:c>
      <x:c r="P14" s="2" t="n">
        <x:f>IF(AND(COUNT(E14:K14)=7,ISNUMBER(L14),D14="USD",M14&lt;&gt;"",B14&lt;&gt;"",C14&lt;&gt;""),1,0)</x:f>
        <x:v>1</x:v>
      </x:c>
      <x:c r="Q14" s="2" t="str">
        <x:f>B14&amp;"|"&amp;C14</x:f>
        <x:v>Briar Field Services|2024-Q4</x:v>
      </x:c>
      <x:c r="R14" s="2"/>
      <x:c r="S14" s="2"/>
      <x:c r="T14" s="8" t="str">
        <x:v>2026-Q2</x:v>
      </x:c>
      <x:c r="U14" s="10" t="n">
        <x:v>46203</x:v>
      </x:c>
      <x:c r="V14" s="10" t="n">
        <x:v>46218</x:v>
      </x:c>
    </x:row>
    <x:row r="15" ht="24" customHeight="1">
      <x:c r="A15" s="8" t="str">
        <x:v>demo-3</x:v>
      </x:c>
      <x:c r="B15" s="8" t="str">
        <x:v>Cedar Supply</x:v>
      </x:c>
      <x:c r="C15" s="8" t="str">
        <x:v>2024-Q4</x:v>
      </x:c>
      <x:c r="D15" s="8" t="str">
        <x:v>USD</x:v>
      </x:c>
      <x:c r="E15" s="9" t="n">
        <x:v>7590000</x:v>
      </x:c>
      <x:c r="F15" s="9" t="n">
        <x:v>1138500</x:v>
      </x:c>
      <x:c r="G15" s="9" t="n">
        <x:v>7470000</x:v>
      </x:c>
      <x:c r="H15" s="9" t="n">
        <x:v>1366200</x:v>
      </x:c>
      <x:c r="I15" s="9" t="n">
        <x:v>683100</x:v>
      </x:c>
      <x:c r="J15" s="9" t="n">
        <x:v>910800</x:v>
      </x:c>
      <x:c r="K15" s="9" t="n">
        <x:v>7590000</x:v>
      </x:c>
      <x:c r="L15" s="10" t="n">
        <x:v>45662</x:v>
      </x:c>
      <x:c r="M15" s="8" t="str">
        <x:v>SYN-3-2024-Q4</x:v>
      </x:c>
      <x:c r="N15" s="8" t="str">
        <x:v>Cedar Supply controller (fictional)</x:v>
      </x:c>
      <x:c r="O15" s="8" t="str">
        <x:v>Checks passed: synthetic working view</x:v>
      </x:c>
      <x:c r="P15" s="2" t="n">
        <x:f>IF(AND(COUNT(E15:K15)=7,ISNUMBER(L15),D15="USD",M15&lt;&gt;"",B15&lt;&gt;"",C15&lt;&gt;""),1,0)</x:f>
        <x:v>1</x:v>
      </x:c>
      <x:c r="Q15" s="2" t="str">
        <x:f>B15&amp;"|"&amp;C15</x:f>
        <x:v>Cedar Supply|2024-Q4</x:v>
      </x:c>
      <x:c r="R15" s="2"/>
      <x:c r="S15" s="2"/>
      <x:c r="T15" s="2"/>
      <x:c r="U15" s="2"/>
      <x:c r="V15" s="2"/>
    </x:row>
    <x:row r="16" ht="24" customHeight="1">
      <x:c r="A16" s="8" t="str">
        <x:v>demo-4</x:v>
      </x:c>
      <x:c r="B16" s="8" t="str">
        <x:v>Dovetail Software</x:v>
      </x:c>
      <x:c r="C16" s="8" t="str">
        <x:v>2024-Q4</x:v>
      </x:c>
      <x:c r="D16" s="8" t="str">
        <x:v>USD</x:v>
      </x:c>
      <x:c r="E16" s="9" t="n">
        <x:v>9310000</x:v>
      </x:c>
      <x:c r="F16" s="9" t="n">
        <x:v>1629250</x:v>
      </x:c>
      <x:c r="G16" s="9" t="n">
        <x:v>9490000</x:v>
      </x:c>
      <x:c r="H16" s="9" t="n">
        <x:v>1675800</x:v>
      </x:c>
      <x:c r="I16" s="9" t="n">
        <x:v>93100</x:v>
      </x:c>
      <x:c r="J16" s="9" t="n">
        <x:v>1117200</x:v>
      </x:c>
      <x:c r="K16" s="9" t="n">
        <x:v>9310000</x:v>
      </x:c>
      <x:c r="L16" s="10" t="n">
        <x:v>45662</x:v>
      </x:c>
      <x:c r="M16" s="8" t="str">
        <x:v>SYN-4-2024-Q4</x:v>
      </x:c>
      <x:c r="N16" s="8" t="str">
        <x:v>Dovetail Software controller (fictional)</x:v>
      </x:c>
      <x:c r="O16" s="8" t="str">
        <x:v>Checks passed: synthetic working view</x:v>
      </x:c>
      <x:c r="P16" s="2" t="n">
        <x:f>IF(AND(COUNT(E16:K16)=7,ISNUMBER(L16),D16="USD",M16&lt;&gt;"",B16&lt;&gt;"",C16&lt;&gt;""),1,0)</x:f>
        <x:v>1</x:v>
      </x:c>
      <x:c r="Q16" s="2" t="str">
        <x:f>B16&amp;"|"&amp;C16</x:f>
        <x:v>Dovetail Software|2024-Q4</x:v>
      </x:c>
      <x:c r="R16" s="2"/>
      <x:c r="S16" s="2"/>
      <x:c r="T16" s="2"/>
      <x:c r="U16" s="2"/>
      <x:c r="V16" s="2"/>
    </x:row>
    <x:row r="17" ht="24" customHeight="1">
      <x:c r="A17" s="8" t="str">
        <x:v>demo-5</x:v>
      </x:c>
      <x:c r="B17" s="8" t="str">
        <x:v>Elm Packaging</x:v>
      </x:c>
      <x:c r="C17" s="8" t="str">
        <x:v>2024-Q4</x:v>
      </x:c>
      <x:c r="D17" s="8" t="str">
        <x:v>USD</x:v>
      </x:c>
      <x:c r="E17" s="9" t="n">
        <x:v>11030000</x:v>
      </x:c>
      <x:c r="F17" s="9" t="n">
        <x:v>2206000</x:v>
      </x:c>
      <x:c r="G17" s="9" t="n">
        <x:v>10910000</x:v>
      </x:c>
      <x:c r="H17" s="9" t="n">
        <x:v>1985400</x:v>
      </x:c>
      <x:c r="I17" s="9" t="n">
        <x:v>992700</x:v>
      </x:c>
      <x:c r="J17" s="9" t="n">
        <x:v>1323600</x:v>
      </x:c>
      <x:c r="K17" s="9" t="n">
        <x:v>11030000</x:v>
      </x:c>
      <x:c r="L17" s="10" t="n">
        <x:v>45662</x:v>
      </x:c>
      <x:c r="M17" s="8" t="str">
        <x:v>SYN-5-2024-Q4</x:v>
      </x:c>
      <x:c r="N17" s="8" t="str">
        <x:v>Elm Packaging controller (fictional)</x:v>
      </x:c>
      <x:c r="O17" s="8" t="str">
        <x:v>Checks passed: synthetic working view</x:v>
      </x:c>
      <x:c r="P17" s="2" t="n">
        <x:f>IF(AND(COUNT(E17:K17)=7,ISNUMBER(L17),D17="USD",M17&lt;&gt;"",B17&lt;&gt;"",C17&lt;&gt;""),1,0)</x:f>
        <x:v>1</x:v>
      </x:c>
      <x:c r="Q17" s="2" t="str">
        <x:f>B17&amp;"|"&amp;C17</x:f>
        <x:v>Elm Packaging|2024-Q4</x:v>
      </x:c>
      <x:c r="R17" s="2"/>
      <x:c r="S17" s="2"/>
      <x:c r="T17" s="2" t="str">
        <x:v>Demo control assumptions</x:v>
      </x:c>
      <x:c r="U17" s="2"/>
      <x:c r="V17" s="2"/>
    </x:row>
    <x:row r="18" ht="24" customHeight="1">
      <x:c r="A18" s="8" t="str">
        <x:v>demo-6</x:v>
      </x:c>
      <x:c r="B18" s="8" t="str">
        <x:v>Flint Logistics</x:v>
      </x:c>
      <x:c r="C18" s="8" t="str">
        <x:v>2024-Q4</x:v>
      </x:c>
      <x:c r="D18" s="8" t="str">
        <x:v>USD</x:v>
      </x:c>
      <x:c r="E18" s="9" t="n">
        <x:v>12750000</x:v>
      </x:c>
      <x:c r="F18" s="9" t="n">
        <x:v>2868750</x:v>
      </x:c>
      <x:c r="G18" s="9" t="n">
        <x:v>12930000</x:v>
      </x:c>
      <x:c r="H18" s="9" t="n">
        <x:v>2295000</x:v>
      </x:c>
      <x:c r="I18" s="9" t="n">
        <x:v>1147500</x:v>
      </x:c>
      <x:c r="J18" s="9" t="n">
        <x:v>1530000</x:v>
      </x:c>
      <x:c r="K18" s="9" t="n">
        <x:v>12750000</x:v>
      </x:c>
      <x:c r="L18" s="10" t="n">
        <x:v>45662</x:v>
      </x:c>
      <x:c r="M18" s="8" t="str">
        <x:v>SYN-6-2024-Q4</x:v>
      </x:c>
      <x:c r="N18" s="8" t="str">
        <x:v>Flint Logistics controller (fictional)</x:v>
      </x:c>
      <x:c r="O18" s="8" t="str">
        <x:v>Checks passed: synthetic working view</x:v>
      </x:c>
      <x:c r="P18" s="2" t="n">
        <x:f>IF(AND(COUNT(E18:K18)=7,ISNUMBER(L18),D18="USD",M18&lt;&gt;"",B18&lt;&gt;"",C18&lt;&gt;""),1,0)</x:f>
        <x:v>1</x:v>
      </x:c>
      <x:c r="Q18" s="2" t="str">
        <x:f>B18&amp;"|"&amp;C18</x:f>
        <x:v>Flint Logistics|2024-Q4</x:v>
      </x:c>
      <x:c r="R18" s="2"/>
      <x:c r="S18" s="2"/>
      <x:c r="T18" s="2" t="str">
        <x:v>Stale after (days)</x:v>
      </x:c>
      <x:c r="U18" s="8" t="n">
        <x:v>21</x:v>
      </x:c>
      <x:c r="V18" s="2"/>
    </x:row>
    <x:row r="19" ht="24" customHeight="1">
      <x:c r="A19" s="8" t="str">
        <x:v>demo-1</x:v>
      </x:c>
      <x:c r="B19" s="8" t="str">
        <x:v>Alder Components</x:v>
      </x:c>
      <x:c r="C19" s="8" t="str">
        <x:v>2025-Q1</x:v>
      </x:c>
      <x:c r="D19" s="8" t="str">
        <x:v>USD</x:v>
      </x:c>
      <x:c r="E19" s="9" t="n">
        <x:v>4300000</x:v>
      </x:c>
      <x:c r="F19" s="9" t="n">
        <x:v>451500</x:v>
      </x:c>
      <x:c r="G19" s="9" t="n">
        <x:v>4180000</x:v>
      </x:c>
      <x:c r="H19" s="9" t="n">
        <x:v>774000</x:v>
      </x:c>
      <x:c r="I19" s="9" t="n">
        <x:v>387000</x:v>
      </x:c>
      <x:c r="J19" s="9" t="n">
        <x:v>516000</x:v>
      </x:c>
      <x:c r="K19" s="9" t="n">
        <x:v>4300000</x:v>
      </x:c>
      <x:c r="L19" s="10" t="n">
        <x:v>45752</x:v>
      </x:c>
      <x:c r="M19" s="8" t="str">
        <x:v>SYN-1-2025-Q1</x:v>
      </x:c>
      <x:c r="N19" s="8" t="str">
        <x:v>Alder Components controller (fictional)</x:v>
      </x:c>
      <x:c r="O19" s="8" t="str">
        <x:v>Checks passed: synthetic working view</x:v>
      </x:c>
      <x:c r="P19" s="2" t="n">
        <x:f>IF(AND(COUNT(E19:K19)=7,ISNUMBER(L19),D19="USD",M19&lt;&gt;"",B19&lt;&gt;"",C19&lt;&gt;""),1,0)</x:f>
        <x:v>1</x:v>
      </x:c>
      <x:c r="Q19" s="2" t="str">
        <x:f>B19&amp;"|"&amp;C19</x:f>
        <x:v>Alder Components|2025-Q1</x:v>
      </x:c>
      <x:c r="R19" s="2"/>
      <x:c r="S19" s="2"/>
      <x:c r="T19" s="2" t="str">
        <x:v>Tie-out tolerance (USD)</x:v>
      </x:c>
      <x:c r="U19" s="8" t="n">
        <x:v>1</x:v>
      </x:c>
      <x:c r="V19" s="2"/>
    </x:row>
    <x:row r="20" ht="24" customHeight="1">
      <x:c r="A20" s="8" t="str">
        <x:v>demo-2</x:v>
      </x:c>
      <x:c r="B20" s="8" t="str">
        <x:v>Briar Field Services</x:v>
      </x:c>
      <x:c r="C20" s="8" t="str">
        <x:v>2025-Q1</x:v>
      </x:c>
      <x:c r="D20" s="8" t="str">
        <x:v>USD</x:v>
      </x:c>
      <x:c r="E20" s="9" t="n">
        <x:v>6040000</x:v>
      </x:c>
      <x:c r="F20" s="9" t="n">
        <x:v>785200</x:v>
      </x:c>
      <x:c r="G20" s="9" t="n">
        <x:v>6220000</x:v>
      </x:c>
      <x:c r="H20" s="9" t="n">
        <x:v>1087200</x:v>
      </x:c>
      <x:c r="I20" s="9" t="n">
        <x:v>543600</x:v>
      </x:c>
      <x:c r="J20" s="9" t="n">
        <x:v>724800</x:v>
      </x:c>
      <x:c r="K20" s="9" t="n">
        <x:v>6040000</x:v>
      </x:c>
      <x:c r="L20" s="10" t="n">
        <x:v>45752</x:v>
      </x:c>
      <x:c r="M20" s="8" t="str">
        <x:v>SYN-2-2025-Q1</x:v>
      </x:c>
      <x:c r="N20" s="8" t="str">
        <x:v>Briar Field Services controller (fictional)</x:v>
      </x:c>
      <x:c r="O20" s="8" t="str">
        <x:v>Checks passed: synthetic working view</x:v>
      </x:c>
      <x:c r="P20" s="2" t="n">
        <x:f>IF(AND(COUNT(E20:K20)=7,ISNUMBER(L20),D20="USD",M20&lt;&gt;"",B20&lt;&gt;"",C20&lt;&gt;""),1,0)</x:f>
        <x:v>1</x:v>
      </x:c>
      <x:c r="Q20" s="2" t="str">
        <x:f>B20&amp;"|"&amp;C20</x:f>
        <x:v>Briar Field Services|2025-Q1</x:v>
      </x:c>
      <x:c r="R20" s="2"/>
      <x:c r="S20" s="2"/>
      <x:c r="T20" s="2"/>
      <x:c r="U20" s="2"/>
      <x:c r="V20" s="2"/>
    </x:row>
    <x:row r="21" ht="24" customHeight="1">
      <x:c r="A21" s="8" t="str">
        <x:v>demo-3</x:v>
      </x:c>
      <x:c r="B21" s="8" t="str">
        <x:v>Cedar Supply</x:v>
      </x:c>
      <x:c r="C21" s="8" t="str">
        <x:v>2025-Q1</x:v>
      </x:c>
      <x:c r="D21" s="8" t="str">
        <x:v>USD</x:v>
      </x:c>
      <x:c r="E21" s="9" t="n">
        <x:v>7780000</x:v>
      </x:c>
      <x:c r="F21" s="9" t="n">
        <x:v>1205900</x:v>
      </x:c>
      <x:c r="G21" s="9" t="n">
        <x:v>7660000</x:v>
      </x:c>
      <x:c r="H21" s="9" t="n">
        <x:v>1400400</x:v>
      </x:c>
      <x:c r="I21" s="9" t="n">
        <x:v>700200</x:v>
      </x:c>
      <x:c r="J21" s="9" t="n">
        <x:v>933600</x:v>
      </x:c>
      <x:c r="K21" s="9" t="n">
        <x:v>7755000</x:v>
      </x:c>
      <x:c r="L21" s="10" t="n">
        <x:v>45752</x:v>
      </x:c>
      <x:c r="M21" s="8" t="str">
        <x:v>SYN-3-2025-Q1</x:v>
      </x:c>
      <x:c r="N21" s="8" t="str">
        <x:v>Cedar Supply controller (fictional)</x:v>
      </x:c>
      <x:c r="O21" s="8" t="str">
        <x:v>Exception: review required</x:v>
      </x:c>
      <x:c r="P21" s="2" t="n">
        <x:f>IF(AND(COUNT(E21:K21)=7,ISNUMBER(L21),D21="USD",M21&lt;&gt;"",B21&lt;&gt;"",C21&lt;&gt;""),1,0)</x:f>
        <x:v>1</x:v>
      </x:c>
      <x:c r="Q21" s="2" t="str">
        <x:f>B21&amp;"|"&amp;C21</x:f>
        <x:v>Cedar Supply|2025-Q1</x:v>
      </x:c>
      <x:c r="R21" s="2"/>
      <x:c r="S21" s="2"/>
      <x:c r="T21" s="2"/>
      <x:c r="U21" s="2"/>
      <x:c r="V21" s="2"/>
    </x:row>
    <x:row r="22" ht="24" customHeight="1">
      <x:c r="A22" s="8" t="str">
        <x:v>demo-4</x:v>
      </x:c>
      <x:c r="B22" s="8" t="str">
        <x:v>Dovetail Software</x:v>
      </x:c>
      <x:c r="C22" s="8" t="str">
        <x:v>2025-Q1</x:v>
      </x:c>
      <x:c r="D22" s="8" t="str">
        <x:v>USD</x:v>
      </x:c>
      <x:c r="E22" s="9" t="n">
        <x:v>9520000</x:v>
      </x:c>
      <x:c r="F22" s="9" t="n">
        <x:v>1713600</x:v>
      </x:c>
      <x:c r="G22" s="9" t="n">
        <x:v>9700000</x:v>
      </x:c>
      <x:c r="H22" s="9" t="n">
        <x:v>1713600</x:v>
      </x:c>
      <x:c r="I22" s="9" t="n">
        <x:v>95200</x:v>
      </x:c>
      <x:c r="J22" s="9" t="n">
        <x:v>1142400</x:v>
      </x:c>
      <x:c r="K22" s="9" t="n">
        <x:v>9520000</x:v>
      </x:c>
      <x:c r="L22" s="10" t="n">
        <x:v>45752</x:v>
      </x:c>
      <x:c r="M22" s="8" t="str">
        <x:v>SYN-4-2025-Q1</x:v>
      </x:c>
      <x:c r="N22" s="8" t="str">
        <x:v>Dovetail Software controller (fictional)</x:v>
      </x:c>
      <x:c r="O22" s="8" t="str">
        <x:v>Checks passed: synthetic working view</x:v>
      </x:c>
      <x:c r="P22" s="2" t="n">
        <x:f>IF(AND(COUNT(E22:K22)=7,ISNUMBER(L22),D22="USD",M22&lt;&gt;"",B22&lt;&gt;"",C22&lt;&gt;""),1,0)</x:f>
        <x:v>1</x:v>
      </x:c>
      <x:c r="Q22" s="2" t="str">
        <x:f>B22&amp;"|"&amp;C22</x:f>
        <x:v>Dovetail Software|2025-Q1</x:v>
      </x:c>
      <x:c r="R22" s="2"/>
      <x:c r="S22" s="2"/>
      <x:c r="T22" s="2"/>
      <x:c r="U22" s="2"/>
      <x:c r="V22" s="2"/>
    </x:row>
    <x:row r="23" ht="24" customHeight="1">
      <x:c r="A23" s="8" t="str">
        <x:v>demo-5</x:v>
      </x:c>
      <x:c r="B23" s="8" t="str">
        <x:v>Elm Packaging</x:v>
      </x:c>
      <x:c r="C23" s="8" t="str">
        <x:v>2025-Q1</x:v>
      </x:c>
      <x:c r="D23" s="8" t="str">
        <x:v>USD</x:v>
      </x:c>
      <x:c r="E23" s="9" t="n">
        <x:v>11260000</x:v>
      </x:c>
      <x:c r="F23" s="9" t="n">
        <x:v>2308300</x:v>
      </x:c>
      <x:c r="G23" s="9" t="n">
        <x:v>11140000</x:v>
      </x:c>
      <x:c r="H23" s="9" t="n">
        <x:v>2026800</x:v>
      </x:c>
      <x:c r="I23" s="9" t="n">
        <x:v>1013400</x:v>
      </x:c>
      <x:c r="J23" s="9" t="n">
        <x:v>1351200</x:v>
      </x:c>
      <x:c r="K23" s="9" t="n">
        <x:v>11260000</x:v>
      </x:c>
      <x:c r="L23" s="10" t="n">
        <x:v>45752</x:v>
      </x:c>
      <x:c r="M23" s="8" t="str">
        <x:v>SYN-5-2025-Q1</x:v>
      </x:c>
      <x:c r="N23" s="8" t="str">
        <x:v>Elm Packaging controller (fictional)</x:v>
      </x:c>
      <x:c r="O23" s="8" t="str">
        <x:v>Checks passed: synthetic working view</x:v>
      </x:c>
      <x:c r="P23" s="2" t="n">
        <x:f>IF(AND(COUNT(E23:K23)=7,ISNUMBER(L23),D23="USD",M23&lt;&gt;"",B23&lt;&gt;"",C23&lt;&gt;""),1,0)</x:f>
        <x:v>1</x:v>
      </x:c>
      <x:c r="Q23" s="2" t="str">
        <x:f>B23&amp;"|"&amp;C23</x:f>
        <x:v>Elm Packaging|2025-Q1</x:v>
      </x:c>
      <x:c r="R23" s="2"/>
      <x:c r="S23" s="2"/>
      <x:c r="T23" s="2"/>
      <x:c r="U23" s="2"/>
      <x:c r="V23" s="2"/>
    </x:row>
    <x:row r="24" ht="24" customHeight="1">
      <x:c r="A24" s="8" t="str">
        <x:v>demo-6</x:v>
      </x:c>
      <x:c r="B24" s="8" t="str">
        <x:v>Flint Logistics</x:v>
      </x:c>
      <x:c r="C24" s="8" t="str">
        <x:v>2025-Q1</x:v>
      </x:c>
      <x:c r="D24" s="8" t="str">
        <x:v>USD</x:v>
      </x:c>
      <x:c r="E24" s="9" t="n">
        <x:v>13000000</x:v>
      </x:c>
      <x:c r="F24" s="9" t="n">
        <x:v>2990000</x:v>
      </x:c>
      <x:c r="G24" s="9" t="n">
        <x:v>13180000</x:v>
      </x:c>
      <x:c r="H24" s="9" t="n">
        <x:v>2340000</x:v>
      </x:c>
      <x:c r="I24" s="9" t="n">
        <x:v>1170000</x:v>
      </x:c>
      <x:c r="J24" s="9" t="n">
        <x:v>1560000</x:v>
      </x:c>
      <x:c r="K24" s="9" t="n">
        <x:v>13000000</x:v>
      </x:c>
      <x:c r="L24" s="10" t="n">
        <x:v>45752</x:v>
      </x:c>
      <x:c r="M24" s="8" t="str">
        <x:v>SYN-6-2025-Q1</x:v>
      </x:c>
      <x:c r="N24" s="8" t="str">
        <x:v>Flint Logistics controller (fictional)</x:v>
      </x:c>
      <x:c r="O24" s="8" t="str">
        <x:v>Checks passed: synthetic working view</x:v>
      </x:c>
      <x:c r="P24" s="2" t="n">
        <x:f>IF(AND(COUNT(E24:K24)=7,ISNUMBER(L24),D24="USD",M24&lt;&gt;"",B24&lt;&gt;"",C24&lt;&gt;""),1,0)</x:f>
        <x:v>1</x:v>
      </x:c>
      <x:c r="Q24" s="2" t="str">
        <x:f>B24&amp;"|"&amp;C24</x:f>
        <x:v>Flint Logistics|2025-Q1</x:v>
      </x:c>
      <x:c r="R24" s="2"/>
      <x:c r="S24" s="2"/>
      <x:c r="T24" s="2"/>
      <x:c r="U24" s="2"/>
      <x:c r="V24" s="2"/>
    </x:row>
    <x:row r="25" ht="24" customHeight="1">
      <x:c r="A25" s="8" t="str">
        <x:v>demo-1</x:v>
      </x:c>
      <x:c r="B25" s="8" t="str">
        <x:v>Alder Components</x:v>
      </x:c>
      <x:c r="C25" s="8" t="str">
        <x:v>2025-Q2</x:v>
      </x:c>
      <x:c r="D25" s="8" t="str">
        <x:v>USD</x:v>
      </x:c>
      <x:c r="E25" s="9" t="n">
        <x:v>4450000</x:v>
      </x:c>
      <x:c r="F25" s="9" t="n">
        <x:v>422750</x:v>
      </x:c>
      <x:c r="G25" s="9" t="n">
        <x:v>4330000</x:v>
      </x:c>
      <x:c r="H25" s="9" t="n">
        <x:v>801000</x:v>
      </x:c>
      <x:c r="I25" s="9" t="n">
        <x:v>400500</x:v>
      </x:c>
      <x:c r="J25" s="9" t="n">
        <x:v>534000</x:v>
      </x:c>
      <x:c r="K25" s="9" t="n">
        <x:v>4450000</x:v>
      </x:c>
      <x:c r="L25" s="10" t="n">
        <x:v>45843</x:v>
      </x:c>
      <x:c r="M25" s="8" t="str">
        <x:v>SYN-1-2025-Q2</x:v>
      </x:c>
      <x:c r="N25" s="8" t="str">
        <x:v>Alder Components controller (fictional)</x:v>
      </x:c>
      <x:c r="O25" s="8" t="str">
        <x:v>Checks passed: synthetic working view</x:v>
      </x:c>
      <x:c r="P25" s="2" t="n">
        <x:f>IF(AND(COUNT(E25:K25)=7,ISNUMBER(L25),D25="USD",M25&lt;&gt;"",B25&lt;&gt;"",C25&lt;&gt;""),1,0)</x:f>
        <x:v>1</x:v>
      </x:c>
      <x:c r="Q25" s="2" t="str">
        <x:f>B25&amp;"|"&amp;C25</x:f>
        <x:v>Alder Components|2025-Q2</x:v>
      </x:c>
      <x:c r="R25" s="2"/>
      <x:c r="S25" s="2"/>
      <x:c r="T25" s="2"/>
      <x:c r="U25" s="2"/>
      <x:c r="V25" s="2"/>
    </x:row>
    <x:row r="26" ht="24" customHeight="1">
      <x:c r="A26" s="8" t="str">
        <x:v>demo-2</x:v>
      </x:c>
      <x:c r="B26" s="8" t="str">
        <x:v>Briar Field Services</x:v>
      </x:c>
      <x:c r="C26" s="8" t="str">
        <x:v>2025-Q2</x:v>
      </x:c>
      <x:c r="D26" s="8" t="str">
        <x:v>USD</x:v>
      </x:c>
      <x:c r="E26" s="9" t="n">
        <x:v>6210000</x:v>
      </x:c>
      <x:c r="F26" s="9" t="n">
        <x:v>745200</x:v>
      </x:c>
      <x:c r="G26" s="9" t="n">
        <x:v>6390000</x:v>
      </x:c>
      <x:c r="H26" s="9" t="n">
        <x:v>1117800</x:v>
      </x:c>
      <x:c r="I26" s="9" t="n">
        <x:v>558900</x:v>
      </x:c>
      <x:c r="J26" s="9" t="n">
        <x:v>745200</x:v>
      </x:c>
      <x:c r="K26" s="9" t="n">
        <x:v>6210000</x:v>
      </x:c>
      <x:c r="L26" s="10" t="n">
        <x:v>45843</x:v>
      </x:c>
      <x:c r="M26" s="8" t="str">
        <x:v>SYN-2-2025-Q2</x:v>
      </x:c>
      <x:c r="N26" s="8" t="str">
        <x:v>Briar Field Services controller (fictional)</x:v>
      </x:c>
      <x:c r="O26" s="8" t="str">
        <x:v>Checks passed: synthetic working view</x:v>
      </x:c>
      <x:c r="P26" s="2" t="n">
        <x:f>IF(AND(COUNT(E26:K26)=7,ISNUMBER(L26),D26="USD",M26&lt;&gt;"",B26&lt;&gt;"",C26&lt;&gt;""),1,0)</x:f>
        <x:v>1</x:v>
      </x:c>
      <x:c r="Q26" s="2" t="str">
        <x:f>B26&amp;"|"&amp;C26</x:f>
        <x:v>Briar Field Services|2025-Q2</x:v>
      </x:c>
      <x:c r="R26" s="2"/>
      <x:c r="S26" s="2"/>
      <x:c r="T26" s="2"/>
      <x:c r="U26" s="2"/>
      <x:c r="V26" s="2"/>
    </x:row>
    <x:row r="27" ht="24" customHeight="1">
      <x:c r="A27" s="8" t="str">
        <x:v>demo-3</x:v>
      </x:c>
      <x:c r="B27" s="8" t="str">
        <x:v>Cedar Supply</x:v>
      </x:c>
      <x:c r="C27" s="8" t="str">
        <x:v>2025-Q2</x:v>
      </x:c>
      <x:c r="D27" s="8" t="str">
        <x:v>USD</x:v>
      </x:c>
      <x:c r="E27" s="9" t="n">
        <x:v>7970000</x:v>
      </x:c>
      <x:c r="F27" s="9" t="n">
        <x:v>1155650</x:v>
      </x:c>
      <x:c r="G27" s="9" t="n">
        <x:v>7850000</x:v>
      </x:c>
      <x:c r="H27" s="9" t="n">
        <x:v>1434600</x:v>
      </x:c>
      <x:c r="I27" s="9" t="n">
        <x:v>717300</x:v>
      </x:c>
      <x:c r="J27" s="9" t="n">
        <x:v>956400</x:v>
      </x:c>
      <x:c r="K27" s="9" t="n">
        <x:v>7970000</x:v>
      </x:c>
      <x:c r="L27" s="10" t="n">
        <x:v>45843</x:v>
      </x:c>
      <x:c r="M27" s="8" t="str">
        <x:v>SYN-3-2025-Q2</x:v>
      </x:c>
      <x:c r="N27" s="8" t="str">
        <x:v>Cedar Supply controller (fictional)</x:v>
      </x:c>
      <x:c r="O27" s="8" t="str">
        <x:v>Checks passed: synthetic working view</x:v>
      </x:c>
      <x:c r="P27" s="2" t="n">
        <x:f>IF(AND(COUNT(E27:K27)=7,ISNUMBER(L27),D27="USD",M27&lt;&gt;"",B27&lt;&gt;"",C27&lt;&gt;""),1,0)</x:f>
        <x:v>1</x:v>
      </x:c>
      <x:c r="Q27" s="2" t="str">
        <x:f>B27&amp;"|"&amp;C27</x:f>
        <x:v>Cedar Supply|2025-Q2</x:v>
      </x:c>
      <x:c r="R27" s="2"/>
      <x:c r="S27" s="2"/>
      <x:c r="T27" s="2"/>
      <x:c r="U27" s="2"/>
      <x:c r="V27" s="2"/>
    </x:row>
    <x:row r="28" ht="24" customHeight="1">
      <x:c r="A28" s="8" t="str">
        <x:v>demo-4</x:v>
      </x:c>
      <x:c r="B28" s="8" t="str">
        <x:v>Dovetail Software</x:v>
      </x:c>
      <x:c r="C28" s="8" t="str">
        <x:v>2025-Q2</x:v>
      </x:c>
      <x:c r="D28" s="8" t="str">
        <x:v>USD</x:v>
      </x:c>
      <x:c r="E28" s="9" t="n">
        <x:v>9730000</x:v>
      </x:c>
      <x:c r="F28" s="9" t="n">
        <x:v>1654100</x:v>
      </x:c>
      <x:c r="G28" s="9" t="n">
        <x:v>9910000</x:v>
      </x:c>
      <x:c r="H28" s="9" t="n">
        <x:v>1751400</x:v>
      </x:c>
      <x:c r="I28" s="9" t="n">
        <x:v>97300</x:v>
      </x:c>
      <x:c r="J28" s="9" t="n">
        <x:v>1167600</x:v>
      </x:c>
      <x:c r="K28" s="9" t="n">
        <x:v>9730000</x:v>
      </x:c>
      <x:c r="L28" s="10" t="n">
        <x:v>45843</x:v>
      </x:c>
      <x:c r="M28" s="8" t="str">
        <x:v>SYN-4-2025-Q2</x:v>
      </x:c>
      <x:c r="N28" s="8" t="str">
        <x:v>Dovetail Software controller (fictional)</x:v>
      </x:c>
      <x:c r="O28" s="8" t="str">
        <x:v>Checks passed: synthetic working view</x:v>
      </x:c>
      <x:c r="P28" s="2" t="n">
        <x:f>IF(AND(COUNT(E28:K28)=7,ISNUMBER(L28),D28="USD",M28&lt;&gt;"",B28&lt;&gt;"",C28&lt;&gt;""),1,0)</x:f>
        <x:v>1</x:v>
      </x:c>
      <x:c r="Q28" s="2" t="str">
        <x:f>B28&amp;"|"&amp;C28</x:f>
        <x:v>Dovetail Software|2025-Q2</x:v>
      </x:c>
      <x:c r="R28" s="2"/>
      <x:c r="S28" s="2"/>
      <x:c r="T28" s="2"/>
      <x:c r="U28" s="2"/>
      <x:c r="V28" s="2"/>
    </x:row>
    <x:row r="29" ht="24" customHeight="1">
      <x:c r="A29" s="8" t="str">
        <x:v>demo-5</x:v>
      </x:c>
      <x:c r="B29" s="8" t="str">
        <x:v>Elm Packaging</x:v>
      </x:c>
      <x:c r="C29" s="8" t="str">
        <x:v>2025-Q2</x:v>
      </x:c>
      <x:c r="D29" s="8" t="str">
        <x:v>USD</x:v>
      </x:c>
      <x:c r="E29" s="9" t="n">
        <x:v>11490000</x:v>
      </x:c>
      <x:c r="F29" s="9" t="n">
        <x:v>2240550</x:v>
      </x:c>
      <x:c r="G29" s="9" t="n">
        <x:v>11370000</x:v>
      </x:c>
      <x:c r="H29" s="9" t="n">
        <x:v>2068200</x:v>
      </x:c>
      <x:c r="I29" s="9" t="n">
        <x:v>1034100</x:v>
      </x:c>
      <x:c r="J29" s="9" t="n">
        <x:v>1378800</x:v>
      </x:c>
      <x:c r="K29" s="9" t="n">
        <x:v>11490000</x:v>
      </x:c>
      <x:c r="L29" s="10" t="n">
        <x:v>45818</x:v>
      </x:c>
      <x:c r="M29" s="8" t="str">
        <x:v>SYN-5-2025-Q2</x:v>
      </x:c>
      <x:c r="N29" s="8" t="str">
        <x:v>Elm Packaging controller (fictional)</x:v>
      </x:c>
      <x:c r="O29" s="8" t="str">
        <x:v>Exception: review required</x:v>
      </x:c>
      <x:c r="P29" s="2" t="n">
        <x:f>IF(AND(COUNT(E29:K29)=7,ISNUMBER(L29),D29="USD",M29&lt;&gt;"",B29&lt;&gt;"",C29&lt;&gt;""),1,0)</x:f>
        <x:v>1</x:v>
      </x:c>
      <x:c r="Q29" s="2" t="str">
        <x:f>B29&amp;"|"&amp;C29</x:f>
        <x:v>Elm Packaging|2025-Q2</x:v>
      </x:c>
      <x:c r="R29" s="2"/>
      <x:c r="S29" s="2"/>
      <x:c r="T29" s="2"/>
      <x:c r="U29" s="2"/>
      <x:c r="V29" s="2"/>
    </x:row>
    <x:row r="30" ht="24" customHeight="1">
      <x:c r="A30" s="8" t="str">
        <x:v>demo-6</x:v>
      </x:c>
      <x:c r="B30" s="8" t="str">
        <x:v>Flint Logistics</x:v>
      </x:c>
      <x:c r="C30" s="8" t="str">
        <x:v>2025-Q2</x:v>
      </x:c>
      <x:c r="D30" s="8" t="str">
        <x:v>USD</x:v>
      </x:c>
      <x:c r="E30" s="9" t="n">
        <x:v>13250000</x:v>
      </x:c>
      <x:c r="F30" s="9" t="n">
        <x:v>2915000</x:v>
      </x:c>
      <x:c r="G30" s="9" t="n">
        <x:v>13430000</x:v>
      </x:c>
      <x:c r="H30" s="9" t="n">
        <x:v>2385000</x:v>
      </x:c>
      <x:c r="I30" s="9" t="n">
        <x:v>1192500</x:v>
      </x:c>
      <x:c r="J30" s="9" t="n">
        <x:v>1590000</x:v>
      </x:c>
      <x:c r="K30" s="9" t="n">
        <x:v>13250000</x:v>
      </x:c>
      <x:c r="L30" s="10" t="n">
        <x:v>45843</x:v>
      </x:c>
      <x:c r="M30" s="8" t="str">
        <x:v>SYN-6-2025-Q2</x:v>
      </x:c>
      <x:c r="N30" s="8" t="str">
        <x:v>Flint Logistics controller (fictional)</x:v>
      </x:c>
      <x:c r="O30" s="8" t="str">
        <x:v>Checks passed: synthetic working view</x:v>
      </x:c>
      <x:c r="P30" s="2" t="n">
        <x:f>IF(AND(COUNT(E30:K30)=7,ISNUMBER(L30),D30="USD",M30&lt;&gt;"",B30&lt;&gt;"",C30&lt;&gt;""),1,0)</x:f>
        <x:v>1</x:v>
      </x:c>
      <x:c r="Q30" s="2" t="str">
        <x:f>B30&amp;"|"&amp;C30</x:f>
        <x:v>Flint Logistics|2025-Q2</x:v>
      </x:c>
      <x:c r="R30" s="2"/>
      <x:c r="S30" s="2"/>
      <x:c r="T30" s="2"/>
      <x:c r="U30" s="2"/>
      <x:c r="V30" s="2"/>
    </x:row>
    <x:row r="31" ht="24" customHeight="1">
      <x:c r="A31" s="8" t="str">
        <x:v>demo-1</x:v>
      </x:c>
      <x:c r="B31" s="8" t="str">
        <x:v>Alder Components</x:v>
      </x:c>
      <x:c r="C31" s="8" t="str">
        <x:v>2025-Q3</x:v>
      </x:c>
      <x:c r="D31" s="8" t="str">
        <x:v>USD</x:v>
      </x:c>
      <x:c r="E31" s="9" t="n">
        <x:v>4600000</x:v>
      </x:c>
      <x:c r="F31" s="9" t="n">
        <x:v>460000</x:v>
      </x:c>
      <x:c r="G31" s="9" t="n">
        <x:v>4480000</x:v>
      </x:c>
      <x:c r="H31" s="9" t="n">
        <x:v>828000</x:v>
      </x:c>
      <x:c r="I31" s="9" t="n">
        <x:v>414000</x:v>
      </x:c>
      <x:c r="J31" s="9" t="n">
        <x:v>552000</x:v>
      </x:c>
      <x:c r="K31" s="9" t="n">
        <x:v>4600000</x:v>
      </x:c>
      <x:c r="L31" s="10" t="n">
        <x:v>45935</x:v>
      </x:c>
      <x:c r="M31" s="8" t="str">
        <x:v>SYN-1-2025-Q3</x:v>
      </x:c>
      <x:c r="N31" s="8" t="str">
        <x:v>Alder Components controller (fictional)</x:v>
      </x:c>
      <x:c r="O31" s="8" t="str">
        <x:v>Checks passed: synthetic working view</x:v>
      </x:c>
      <x:c r="P31" s="2" t="n">
        <x:f>IF(AND(COUNT(E31:K31)=7,ISNUMBER(L31),D31="USD",M31&lt;&gt;"",B31&lt;&gt;"",C31&lt;&gt;""),1,0)</x:f>
        <x:v>1</x:v>
      </x:c>
      <x:c r="Q31" s="2" t="str">
        <x:f>B31&amp;"|"&amp;C31</x:f>
        <x:v>Alder Components|2025-Q3</x:v>
      </x:c>
      <x:c r="R31" s="2"/>
      <x:c r="S31" s="2"/>
      <x:c r="T31" s="2"/>
      <x:c r="U31" s="2"/>
      <x:c r="V31" s="2"/>
    </x:row>
    <x:row r="32" ht="24" customHeight="1">
      <x:c r="A32" s="8" t="str">
        <x:v>demo-2</x:v>
      </x:c>
      <x:c r="B32" s="8" t="str">
        <x:v>Briar Field Services</x:v>
      </x:c>
      <x:c r="C32" s="8" t="str">
        <x:v>2025-Q3</x:v>
      </x:c>
      <x:c r="D32" s="8" t="str">
        <x:v>USD</x:v>
      </x:c>
      <x:c r="E32" s="9" t="n">
        <x:v>6380000</x:v>
      </x:c>
      <x:c r="F32" s="9" t="n">
        <x:v>797500</x:v>
      </x:c>
      <x:c r="G32" s="9" t="n">
        <x:v>6560000</x:v>
      </x:c>
      <x:c r="H32" s="9" t="n">
        <x:v>1148400</x:v>
      </x:c>
      <x:c r="I32" s="9" t="n">
        <x:v>574200</x:v>
      </x:c>
      <x:c r="J32" s="9" t="n">
        <x:v>765600</x:v>
      </x:c>
      <x:c r="K32" s="9" t="n">
        <x:v>6380000</x:v>
      </x:c>
      <x:c r="L32" s="10" t="n">
        <x:v>45935</x:v>
      </x:c>
      <x:c r="M32" s="8" t="str">
        <x:v>SYN-2-2025-Q3</x:v>
      </x:c>
      <x:c r="N32" s="8" t="str">
        <x:v>Briar Field Services controller (fictional)</x:v>
      </x:c>
      <x:c r="O32" s="8" t="str">
        <x:v>Checks passed: synthetic working view</x:v>
      </x:c>
      <x:c r="P32" s="2" t="n">
        <x:f>IF(AND(COUNT(E32:K32)=7,ISNUMBER(L32),D32="USD",M32&lt;&gt;"",B32&lt;&gt;"",C32&lt;&gt;""),1,0)</x:f>
        <x:v>1</x:v>
      </x:c>
      <x:c r="Q32" s="2" t="str">
        <x:f>B32&amp;"|"&amp;C32</x:f>
        <x:v>Briar Field Services|2025-Q3</x:v>
      </x:c>
      <x:c r="R32" s="2"/>
      <x:c r="S32" s="2"/>
      <x:c r="T32" s="2"/>
      <x:c r="U32" s="2"/>
      <x:c r="V32" s="2"/>
    </x:row>
    <x:row r="33" ht="24" customHeight="1">
      <x:c r="A33" s="8" t="str">
        <x:v>demo-3</x:v>
      </x:c>
      <x:c r="B33" s="8" t="str">
        <x:v>Cedar Supply</x:v>
      </x:c>
      <x:c r="C33" s="8" t="str">
        <x:v>2025-Q3</x:v>
      </x:c>
      <x:c r="D33" s="8" t="str">
        <x:v>USD</x:v>
      </x:c>
      <x:c r="E33" s="9" t="n">
        <x:v>8160000</x:v>
      </x:c>
      <x:c r="F33" s="9" t="n">
        <x:v>1224000</x:v>
      </x:c>
      <x:c r="G33" s="9" t="n">
        <x:v>8040000</x:v>
      </x:c>
      <x:c r="H33" s="9" t="n">
        <x:v>1468800</x:v>
      </x:c>
      <x:c r="I33" s="9" t="n">
        <x:v>734400</x:v>
      </x:c>
      <x:c r="J33" s="9" t="n">
        <x:v>979200</x:v>
      </x:c>
      <x:c r="K33" s="9" t="n">
        <x:v>8160000</x:v>
      </x:c>
      <x:c r="L33" s="10" t="n">
        <x:v>45935</x:v>
      </x:c>
      <x:c r="M33" s="8" t="str">
        <x:v>SYN-3-2025-Q3</x:v>
      </x:c>
      <x:c r="N33" s="8" t="str">
        <x:v>Cedar Supply controller (fictional)</x:v>
      </x:c>
      <x:c r="O33" s="8" t="str">
        <x:v>Checks passed: synthetic working view</x:v>
      </x:c>
      <x:c r="P33" s="2" t="n">
        <x:f>IF(AND(COUNT(E33:K33)=7,ISNUMBER(L33),D33="USD",M33&lt;&gt;"",B33&lt;&gt;"",C33&lt;&gt;""),1,0)</x:f>
        <x:v>1</x:v>
      </x:c>
      <x:c r="Q33" s="2" t="str">
        <x:f>B33&amp;"|"&amp;C33</x:f>
        <x:v>Cedar Supply|2025-Q3</x:v>
      </x:c>
      <x:c r="R33" s="2"/>
      <x:c r="S33" s="2"/>
      <x:c r="T33" s="2"/>
      <x:c r="U33" s="2"/>
      <x:c r="V33" s="2"/>
    </x:row>
    <x:row r="34" ht="24" customHeight="1">
      <x:c r="A34" s="8" t="str">
        <x:v>demo-4</x:v>
      </x:c>
      <x:c r="B34" s="8" t="str">
        <x:v>Dovetail Software</x:v>
      </x:c>
      <x:c r="C34" s="8" t="str">
        <x:v>2025-Q3</x:v>
      </x:c>
      <x:c r="D34" s="8" t="str">
        <x:v>USD</x:v>
      </x:c>
      <x:c r="E34" s="9" t="n">
        <x:v>9940000</x:v>
      </x:c>
      <x:c r="F34" s="9" t="n">
        <x:v>1739500</x:v>
      </x:c>
      <x:c r="G34" s="9" t="n">
        <x:v>10120000</x:v>
      </x:c>
      <x:c r="H34" s="9" t="n">
        <x:v>1789200</x:v>
      </x:c>
      <x:c r="I34" s="9" t="n">
        <x:v>99400</x:v>
      </x:c>
      <x:c r="J34" s="9" t="n">
        <x:v>1192800</x:v>
      </x:c>
      <x:c r="K34" s="9" t="n">
        <x:v>9940000</x:v>
      </x:c>
      <x:c r="L34" s="10" t="n">
        <x:v>45935</x:v>
      </x:c>
      <x:c r="M34" s="8" t="str">
        <x:v>SYN-4-2025-Q3</x:v>
      </x:c>
      <x:c r="N34" s="8" t="str">
        <x:v>Dovetail Software controller (fictional)</x:v>
      </x:c>
      <x:c r="O34" s="8" t="str">
        <x:v>Checks passed: synthetic working view</x:v>
      </x:c>
      <x:c r="P34" s="2" t="n">
        <x:f>IF(AND(COUNT(E34:K34)=7,ISNUMBER(L34),D34="USD",M34&lt;&gt;"",B34&lt;&gt;"",C34&lt;&gt;""),1,0)</x:f>
        <x:v>1</x:v>
      </x:c>
      <x:c r="Q34" s="2" t="str">
        <x:f>B34&amp;"|"&amp;C34</x:f>
        <x:v>Dovetail Software|2025-Q3</x:v>
      </x:c>
      <x:c r="R34" s="2"/>
      <x:c r="S34" s="2"/>
      <x:c r="T34" s="2"/>
      <x:c r="U34" s="2"/>
      <x:c r="V34" s="2"/>
    </x:row>
    <x:row r="35" ht="24" customHeight="1">
      <x:c r="A35" s="8" t="str">
        <x:v>demo-5</x:v>
      </x:c>
      <x:c r="B35" s="8" t="str">
        <x:v>Elm Packaging</x:v>
      </x:c>
      <x:c r="C35" s="8" t="str">
        <x:v>2025-Q3</x:v>
      </x:c>
      <x:c r="D35" s="8" t="str">
        <x:v>USD</x:v>
      </x:c>
      <x:c r="E35" s="9" t="n">
        <x:v>11720000</x:v>
      </x:c>
      <x:c r="F35" s="9" t="n">
        <x:v>2344000</x:v>
      </x:c>
      <x:c r="G35" s="9" t="n">
        <x:v>11600000</x:v>
      </x:c>
      <x:c r="H35" s="9" t="n">
        <x:v>2109600</x:v>
      </x:c>
      <x:c r="I35" s="9" t="n">
        <x:v>1054800</x:v>
      </x:c>
      <x:c r="J35" s="9" t="n">
        <x:v>1406400</x:v>
      </x:c>
      <x:c r="K35" s="9" t="n">
        <x:v>11720000</x:v>
      </x:c>
      <x:c r="L35" s="10" t="n">
        <x:v>45935</x:v>
      </x:c>
      <x:c r="M35" s="8" t="str">
        <x:v>SYN-5-2025-Q3</x:v>
      </x:c>
      <x:c r="N35" s="8" t="str">
        <x:v>Elm Packaging controller (fictional)</x:v>
      </x:c>
      <x:c r="O35" s="8" t="str">
        <x:v>Checks passed: synthetic working view</x:v>
      </x:c>
      <x:c r="P35" s="2" t="n">
        <x:f>IF(AND(COUNT(E35:K35)=7,ISNUMBER(L35),D35="USD",M35&lt;&gt;"",B35&lt;&gt;"",C35&lt;&gt;""),1,0)</x:f>
        <x:v>1</x:v>
      </x:c>
      <x:c r="Q35" s="2" t="str">
        <x:f>B35&amp;"|"&amp;C35</x:f>
        <x:v>Elm Packaging|2025-Q3</x:v>
      </x:c>
      <x:c r="R35" s="2"/>
      <x:c r="S35" s="2"/>
      <x:c r="T35" s="2"/>
      <x:c r="U35" s="2"/>
      <x:c r="V35" s="2"/>
    </x:row>
    <x:row r="36" ht="24" customHeight="1">
      <x:c r="A36" s="8" t="str">
        <x:v>demo-6</x:v>
      </x:c>
      <x:c r="B36" s="8" t="str">
        <x:v>Flint Logistics</x:v>
      </x:c>
      <x:c r="C36" s="8" t="str">
        <x:v>2025-Q3</x:v>
      </x:c>
      <x:c r="D36" s="8" t="str">
        <x:v>USD</x:v>
      </x:c>
      <x:c r="E36" s="9" t="n">
        <x:v>13500000</x:v>
      </x:c>
      <x:c r="F36" s="9" t="n">
        <x:v>3037500</x:v>
      </x:c>
      <x:c r="G36" s="9" t="n">
        <x:v>13680000</x:v>
      </x:c>
      <x:c r="H36" s="9" t="n">
        <x:v>2430000</x:v>
      </x:c>
      <x:c r="I36" s="9" t="n">
        <x:v>1215000</x:v>
      </x:c>
      <x:c r="J36" s="9" t="n">
        <x:v>1620000</x:v>
      </x:c>
      <x:c r="K36" s="9" t="n">
        <x:v>13500000</x:v>
      </x:c>
      <x:c r="L36" s="10" t="n">
        <x:v>45935</x:v>
      </x:c>
      <x:c r="M36" s="8" t="str">
        <x:v>SYN-6-2025-Q3</x:v>
      </x:c>
      <x:c r="N36" s="8" t="str">
        <x:v>Flint Logistics controller (fictional)</x:v>
      </x:c>
      <x:c r="O36" s="8" t="str">
        <x:v>Checks passed: synthetic working view</x:v>
      </x:c>
      <x:c r="P36" s="2" t="n">
        <x:f>IF(AND(COUNT(E36:K36)=7,ISNUMBER(L36),D36="USD",M36&lt;&gt;"",B36&lt;&gt;"",C36&lt;&gt;""),1,0)</x:f>
        <x:v>1</x:v>
      </x:c>
      <x:c r="Q36" s="2" t="str">
        <x:f>B36&amp;"|"&amp;C36</x:f>
        <x:v>Flint Logistics|2025-Q3</x:v>
      </x:c>
      <x:c r="R36" s="2"/>
      <x:c r="S36" s="2"/>
      <x:c r="T36" s="2"/>
      <x:c r="U36" s="2"/>
      <x:c r="V36" s="2"/>
    </x:row>
    <x:row r="37" ht="24" customHeight="1">
      <x:c r="A37" s="8" t="str">
        <x:v>demo-1</x:v>
      </x:c>
      <x:c r="B37" s="8" t="str">
        <x:v>Alder Components</x:v>
      </x:c>
      <x:c r="C37" s="8" t="str">
        <x:v>2025-Q4</x:v>
      </x:c>
      <x:c r="D37" s="8" t="str">
        <x:v>USD</x:v>
      </x:c>
      <x:c r="E37" s="9" t="n">
        <x:v>4750000</x:v>
      </x:c>
      <x:c r="F37" s="9" t="n">
        <x:v>498750</x:v>
      </x:c>
      <x:c r="G37" s="9" t="n">
        <x:v>4630000</x:v>
      </x:c>
      <x:c r="H37" s="9" t="n">
        <x:v>855000</x:v>
      </x:c>
      <x:c r="I37" s="9" t="n">
        <x:v>427500</x:v>
      </x:c>
      <x:c r="J37" s="9" t="n">
        <x:v>570000</x:v>
      </x:c>
      <x:c r="K37" s="9" t="n">
        <x:v>4750000</x:v>
      </x:c>
      <x:c r="L37" s="10" t="n">
        <x:v>46027</x:v>
      </x:c>
      <x:c r="M37" s="8" t="str">
        <x:v>SYN-1-2025-Q4</x:v>
      </x:c>
      <x:c r="N37" s="8" t="str">
        <x:v>Alder Components controller (fictional)</x:v>
      </x:c>
      <x:c r="O37" s="8" t="str">
        <x:v>Checks passed: synthetic working view</x:v>
      </x:c>
      <x:c r="P37" s="2" t="n">
        <x:f>IF(AND(COUNT(E37:K37)=7,ISNUMBER(L37),D37="USD",M37&lt;&gt;"",B37&lt;&gt;"",C37&lt;&gt;""),1,0)</x:f>
        <x:v>1</x:v>
      </x:c>
      <x:c r="Q37" s="2" t="str">
        <x:f>B37&amp;"|"&amp;C37</x:f>
        <x:v>Alder Components|2025-Q4</x:v>
      </x:c>
      <x:c r="R37" s="2"/>
      <x:c r="S37" s="2"/>
      <x:c r="T37" s="2"/>
      <x:c r="U37" s="2"/>
      <x:c r="V37" s="2"/>
    </x:row>
    <x:row r="38" ht="24" customHeight="1">
      <x:c r="A38" s="8" t="str">
        <x:v>demo-2</x:v>
      </x:c>
      <x:c r="B38" s="8" t="str">
        <x:v>Briar Field Services</x:v>
      </x:c>
      <x:c r="C38" s="8" t="str">
        <x:v>2025-Q4</x:v>
      </x:c>
      <x:c r="D38" s="8" t="str">
        <x:v>USD</x:v>
      </x:c>
      <x:c r="E38" s="9" t="n">
        <x:v>6550000</x:v>
      </x:c>
      <x:c r="F38" s="9" t="n">
        <x:v>851500</x:v>
      </x:c>
      <x:c r="G38" s="9" t="n">
        <x:v>6730000</x:v>
      </x:c>
      <x:c r="H38" s="9" t="n">
        <x:v>1179000</x:v>
      </x:c>
      <x:c r="I38" s="9" t="n">
        <x:v>589500</x:v>
      </x:c>
      <x:c r="J38" s="9" t="n">
        <x:v>786000</x:v>
      </x:c>
      <x:c r="K38" s="9" t="n">
        <x:v>6550000</x:v>
      </x:c>
      <x:c r="L38" s="10" t="n">
        <x:v>46027</x:v>
      </x:c>
      <x:c r="M38" s="8" t="str">
        <x:v>SYN-2-2025-Q4</x:v>
      </x:c>
      <x:c r="N38" s="8" t="str">
        <x:v>Briar Field Services controller (fictional)</x:v>
      </x:c>
      <x:c r="O38" s="8" t="str">
        <x:v>Checks passed: synthetic working view</x:v>
      </x:c>
      <x:c r="P38" s="2" t="n">
        <x:f>IF(AND(COUNT(E38:K38)=7,ISNUMBER(L38),D38="USD",M38&lt;&gt;"",B38&lt;&gt;"",C38&lt;&gt;""),1,0)</x:f>
        <x:v>1</x:v>
      </x:c>
      <x:c r="Q38" s="2" t="str">
        <x:f>B38&amp;"|"&amp;C38</x:f>
        <x:v>Briar Field Services|2025-Q4</x:v>
      </x:c>
      <x:c r="R38" s="2"/>
      <x:c r="S38" s="2"/>
      <x:c r="T38" s="2"/>
      <x:c r="U38" s="2"/>
      <x:c r="V38" s="2"/>
    </x:row>
    <x:row r="39" ht="24" customHeight="1">
      <x:c r="A39" s="8" t="str">
        <x:v>demo-3</x:v>
      </x:c>
      <x:c r="B39" s="8" t="str">
        <x:v>Cedar Supply</x:v>
      </x:c>
      <x:c r="C39" s="8" t="str">
        <x:v>2025-Q4</x:v>
      </x:c>
      <x:c r="D39" s="8" t="str">
        <x:v>USD</x:v>
      </x:c>
      <x:c r="E39" s="9" t="n">
        <x:v>8350000</x:v>
      </x:c>
      <x:c r="F39" s="9" t="n">
        <x:v>1294250</x:v>
      </x:c>
      <x:c r="G39" s="9" t="n">
        <x:v>8230000</x:v>
      </x:c>
      <x:c r="H39" s="9" t="n">
        <x:v>1503000</x:v>
      </x:c>
      <x:c r="I39" s="9" t="n">
        <x:v>751500</x:v>
      </x:c>
      <x:c r="J39" s="9" t="n">
        <x:v>1002000</x:v>
      </x:c>
      <x:c r="K39" s="9" t="n">
        <x:v>8350000</x:v>
      </x:c>
      <x:c r="L39" s="10" t="n">
        <x:v>46027</x:v>
      </x:c>
      <x:c r="M39" s="8" t="str">
        <x:v>SYN-3-2025-Q4</x:v>
      </x:c>
      <x:c r="N39" s="8" t="str">
        <x:v>Cedar Supply controller (fictional)</x:v>
      </x:c>
      <x:c r="O39" s="8" t="str">
        <x:v>Checks passed: synthetic working view</x:v>
      </x:c>
      <x:c r="P39" s="2" t="n">
        <x:f>IF(AND(COUNT(E39:K39)=7,ISNUMBER(L39),D39="USD",M39&lt;&gt;"",B39&lt;&gt;"",C39&lt;&gt;""),1,0)</x:f>
        <x:v>1</x:v>
      </x:c>
      <x:c r="Q39" s="2" t="str">
        <x:f>B39&amp;"|"&amp;C39</x:f>
        <x:v>Cedar Supply|2025-Q4</x:v>
      </x:c>
      <x:c r="R39" s="2"/>
      <x:c r="S39" s="2"/>
      <x:c r="T39" s="2"/>
      <x:c r="U39" s="2"/>
      <x:c r="V39" s="2"/>
    </x:row>
    <x:row r="40" ht="24" customHeight="1">
      <x:c r="A40" s="8" t="str">
        <x:v>demo-4</x:v>
      </x:c>
      <x:c r="B40" s="8" t="str">
        <x:v>Dovetail Software</x:v>
      </x:c>
      <x:c r="C40" s="8" t="str">
        <x:v>2025-Q4</x:v>
      </x:c>
      <x:c r="D40" s="8" t="str">
        <x:v>USD</x:v>
      </x:c>
      <x:c r="E40" s="9" t="n">
        <x:v>10150000</x:v>
      </x:c>
      <x:c r="F40" s="9" t="n">
        <x:v>1827000</x:v>
      </x:c>
      <x:c r="G40" s="9" t="n">
        <x:v>10330000</x:v>
      </x:c>
      <x:c r="H40" s="9" t="n">
        <x:v>1827000</x:v>
      </x:c>
      <x:c r="I40" s="9" t="n">
        <x:v>101500</x:v>
      </x:c>
      <x:c r="J40" s="9" t="n">
        <x:v>1218000</x:v>
      </x:c>
      <x:c r="K40" s="9" t="n">
        <x:v>10150000</x:v>
      </x:c>
      <x:c r="L40" s="10" t="n">
        <x:v>46027</x:v>
      </x:c>
      <x:c r="M40" s="8" t="str">
        <x:v>SYN-4-2025-Q4</x:v>
      </x:c>
      <x:c r="N40" s="8" t="str">
        <x:v>Dovetail Software controller (fictional)</x:v>
      </x:c>
      <x:c r="O40" s="8" t="str">
        <x:v>Checks passed: synthetic working view</x:v>
      </x:c>
      <x:c r="P40" s="2" t="n">
        <x:f>IF(AND(COUNT(E40:K40)=7,ISNUMBER(L40),D40="USD",M40&lt;&gt;"",B40&lt;&gt;"",C40&lt;&gt;""),1,0)</x:f>
        <x:v>1</x:v>
      </x:c>
      <x:c r="Q40" s="2" t="str">
        <x:f>B40&amp;"|"&amp;C40</x:f>
        <x:v>Dovetail Software|2025-Q4</x:v>
      </x:c>
      <x:c r="R40" s="2"/>
      <x:c r="S40" s="2"/>
      <x:c r="T40" s="2"/>
      <x:c r="U40" s="2"/>
      <x:c r="V40" s="2"/>
    </x:row>
    <x:row r="41" ht="24" customHeight="1">
      <x:c r="A41" s="8" t="str">
        <x:v>demo-5</x:v>
      </x:c>
      <x:c r="B41" s="8" t="str">
        <x:v>Elm Packaging</x:v>
      </x:c>
      <x:c r="C41" s="8" t="str">
        <x:v>2025-Q4</x:v>
      </x:c>
      <x:c r="D41" s="8" t="str">
        <x:v>USD</x:v>
      </x:c>
      <x:c r="E41" s="9" t="n">
        <x:v>11950000</x:v>
      </x:c>
      <x:c r="F41" s="9" t="n">
        <x:v>2449750</x:v>
      </x:c>
      <x:c r="G41" s="9" t="n">
        <x:v>11830000</x:v>
      </x:c>
      <x:c r="H41" s="9" t="n">
        <x:v>2151000</x:v>
      </x:c>
      <x:c r="I41" s="9" t="n">
        <x:v>1075500</x:v>
      </x:c>
      <x:c r="J41" s="9" t="n">
        <x:v>1434000</x:v>
      </x:c>
      <x:c r="K41" s="9" t="n">
        <x:v>11950000</x:v>
      </x:c>
      <x:c r="L41" s="10" t="n">
        <x:v>46027</x:v>
      </x:c>
      <x:c r="M41" s="8" t="str">
        <x:v>SYN-5-2025-Q4</x:v>
      </x:c>
      <x:c r="N41" s="8" t="str">
        <x:v>Elm Packaging controller (fictional)</x:v>
      </x:c>
      <x:c r="O41" s="8" t="str">
        <x:v>Checks passed: synthetic working view</x:v>
      </x:c>
      <x:c r="P41" s="2" t="n">
        <x:f>IF(AND(COUNT(E41:K41)=7,ISNUMBER(L41),D41="USD",M41&lt;&gt;"",B41&lt;&gt;"",C41&lt;&gt;""),1,0)</x:f>
        <x:v>1</x:v>
      </x:c>
      <x:c r="Q41" s="2" t="str">
        <x:f>B41&amp;"|"&amp;C41</x:f>
        <x:v>Elm Packaging|2025-Q4</x:v>
      </x:c>
      <x:c r="R41" s="2"/>
      <x:c r="S41" s="2"/>
      <x:c r="T41" s="2"/>
      <x:c r="U41" s="2"/>
      <x:c r="V41" s="2"/>
    </x:row>
    <x:row r="42" ht="24" customHeight="1">
      <x:c r="A42" s="8" t="str">
        <x:v>demo-6</x:v>
      </x:c>
      <x:c r="B42" s="8" t="str">
        <x:v>Flint Logistics</x:v>
      </x:c>
      <x:c r="C42" s="8" t="str">
        <x:v>2025-Q4</x:v>
      </x:c>
      <x:c r="D42" s="8" t="str">
        <x:v>USD</x:v>
      </x:c>
      <x:c r="E42" s="9" t="n">
        <x:v>13750000</x:v>
      </x:c>
      <x:c r="F42" s="9" t="n">
        <x:v>3162500</x:v>
      </x:c>
      <x:c r="G42" s="9" t="n">
        <x:v>13930000</x:v>
      </x:c>
      <x:c r="H42" s="9" t="n">
        <x:v>2475000</x:v>
      </x:c>
      <x:c r="I42" s="9" t="n">
        <x:v>1237500</x:v>
      </x:c>
      <x:c r="J42" s="9" t="n">
        <x:v>1650000</x:v>
      </x:c>
      <x:c r="K42" s="9" t="n">
        <x:v>13750000</x:v>
      </x:c>
      <x:c r="L42" s="10" t="n">
        <x:v>46027</x:v>
      </x:c>
      <x:c r="M42" s="8" t="str">
        <x:v>SYN-6-2025-Q4</x:v>
      </x:c>
      <x:c r="N42" s="8" t="str">
        <x:v>Flint Logistics controller (fictional)</x:v>
      </x:c>
      <x:c r="O42" s="8" t="str">
        <x:v>Checks passed: synthetic working view</x:v>
      </x:c>
      <x:c r="P42" s="2" t="n">
        <x:f>IF(AND(COUNT(E42:K42)=7,ISNUMBER(L42),D42="USD",M42&lt;&gt;"",B42&lt;&gt;"",C42&lt;&gt;""),1,0)</x:f>
        <x:v>1</x:v>
      </x:c>
      <x:c r="Q42" s="2" t="str">
        <x:f>B42&amp;"|"&amp;C42</x:f>
        <x:v>Flint Logistics|2025-Q4</x:v>
      </x:c>
      <x:c r="R42" s="2"/>
      <x:c r="S42" s="2"/>
      <x:c r="T42" s="2"/>
      <x:c r="U42" s="2"/>
      <x:c r="V42" s="2"/>
    </x:row>
    <x:row r="43" ht="24" customHeight="1">
      <x:c r="A43" s="8" t="str">
        <x:v>demo-1</x:v>
      </x:c>
      <x:c r="B43" s="8" t="str">
        <x:v>Alder Components</x:v>
      </x:c>
      <x:c r="C43" s="8" t="str">
        <x:v>2026-Q1</x:v>
      </x:c>
      <x:c r="D43" s="8" t="str">
        <x:v>USD</x:v>
      </x:c>
      <x:c r="E43" s="9" t="n">
        <x:v>4900000</x:v>
      </x:c>
      <x:c r="F43" s="9" t="n">
        <x:v>465500</x:v>
      </x:c>
      <x:c r="G43" s="9" t="n">
        <x:v>4780000</x:v>
      </x:c>
      <x:c r="H43" s="9" t="n">
        <x:v>882000</x:v>
      </x:c>
      <x:c r="I43" s="9" t="n">
        <x:v>441000</x:v>
      </x:c>
      <x:c r="J43" s="9" t="n">
        <x:v>588000</x:v>
      </x:c>
      <x:c r="K43" s="9" t="n">
        <x:v>4900000</x:v>
      </x:c>
      <x:c r="L43" s="10" t="n">
        <x:v>46117</x:v>
      </x:c>
      <x:c r="M43" s="8" t="str">
        <x:v>SYN-1-2026-Q1</x:v>
      </x:c>
      <x:c r="N43" s="8" t="str">
        <x:v>Alder Components controller (fictional)</x:v>
      </x:c>
      <x:c r="O43" s="8" t="str">
        <x:v>Checks passed: synthetic working view</x:v>
      </x:c>
      <x:c r="P43" s="2" t="n">
        <x:f>IF(AND(COUNT(E43:K43)=7,ISNUMBER(L43),D43="USD",M43&lt;&gt;"",B43&lt;&gt;"",C43&lt;&gt;""),1,0)</x:f>
        <x:v>1</x:v>
      </x:c>
      <x:c r="Q43" s="2" t="str">
        <x:f>B43&amp;"|"&amp;C43</x:f>
        <x:v>Alder Components|2026-Q1</x:v>
      </x:c>
      <x:c r="R43" s="2"/>
      <x:c r="S43" s="2"/>
      <x:c r="T43" s="2"/>
      <x:c r="U43" s="2"/>
      <x:c r="V43" s="2"/>
    </x:row>
    <x:row r="44" ht="24" customHeight="1">
      <x:c r="A44" s="8" t="str">
        <x:v>demo-2</x:v>
      </x:c>
      <x:c r="B44" s="8" t="str">
        <x:v>Briar Field Services</x:v>
      </x:c>
      <x:c r="C44" s="8" t="str">
        <x:v>2026-Q1</x:v>
      </x:c>
      <x:c r="D44" s="8" t="str">
        <x:v>USD</x:v>
      </x:c>
      <x:c r="E44" s="9" t="n">
        <x:v>6720000</x:v>
      </x:c>
      <x:c r="F44" s="9" t="n">
        <x:v>806400</x:v>
      </x:c>
      <x:c r="G44" s="9" t="n">
        <x:v>6900000</x:v>
      </x:c>
      <x:c r="H44" s="9" t="n">
        <x:v>1209600</x:v>
      </x:c>
      <x:c r="I44" s="9" t="n">
        <x:v>604800</x:v>
      </x:c>
      <x:c r="J44" s="9" t="n">
        <x:v>806400</x:v>
      </x:c>
      <x:c r="K44" s="9" t="n">
        <x:v>6720000</x:v>
      </x:c>
      <x:c r="L44" s="10" t="n">
        <x:v>46117</x:v>
      </x:c>
      <x:c r="M44" s="8" t="str">
        <x:v>SYN-2-2026-Q1</x:v>
      </x:c>
      <x:c r="N44" s="8" t="str">
        <x:v>Briar Field Services controller (fictional)</x:v>
      </x:c>
      <x:c r="O44" s="8" t="str">
        <x:v>Checks passed: synthetic working view</x:v>
      </x:c>
      <x:c r="P44" s="2" t="n">
        <x:f>IF(AND(COUNT(E44:K44)=7,ISNUMBER(L44),D44="USD",M44&lt;&gt;"",B44&lt;&gt;"",C44&lt;&gt;""),1,0)</x:f>
        <x:v>1</x:v>
      </x:c>
      <x:c r="Q44" s="2" t="str">
        <x:f>B44&amp;"|"&amp;C44</x:f>
        <x:v>Briar Field Services|2026-Q1</x:v>
      </x:c>
      <x:c r="R44" s="2"/>
      <x:c r="S44" s="2"/>
      <x:c r="T44" s="2"/>
      <x:c r="U44" s="2"/>
      <x:c r="V44" s="2"/>
    </x:row>
    <x:row r="45" ht="24" customHeight="1">
      <x:c r="A45" s="8" t="str">
        <x:v>demo-3</x:v>
      </x:c>
      <x:c r="B45" s="8" t="str">
        <x:v>Cedar Supply</x:v>
      </x:c>
      <x:c r="C45" s="8" t="str">
        <x:v>2026-Q1</x:v>
      </x:c>
      <x:c r="D45" s="8" t="str">
        <x:v>USD</x:v>
      </x:c>
      <x:c r="E45" s="9" t="n">
        <x:v>8540000</x:v>
      </x:c>
      <x:c r="F45" s="9" t="n">
        <x:v>1238300</x:v>
      </x:c>
      <x:c r="G45" s="9" t="n">
        <x:v>8420000</x:v>
      </x:c>
      <x:c r="H45" s="9" t="n">
        <x:v>1537200</x:v>
      </x:c>
      <x:c r="I45" s="9" t="n">
        <x:v>768600</x:v>
      </x:c>
      <x:c r="J45" s="9" t="n">
        <x:v>1024800</x:v>
      </x:c>
      <x:c r="K45" s="9" t="n">
        <x:v>8540000</x:v>
      </x:c>
      <x:c r="L45" s="10" t="n">
        <x:v>46117</x:v>
      </x:c>
      <x:c r="M45" s="8" t="str">
        <x:v>SYN-3-2026-Q1</x:v>
      </x:c>
      <x:c r="N45" s="8" t="str">
        <x:v>Cedar Supply controller (fictional)</x:v>
      </x:c>
      <x:c r="O45" s="8" t="str">
        <x:v>Checks passed: synthetic working view</x:v>
      </x:c>
      <x:c r="P45" s="2" t="n">
        <x:f>IF(AND(COUNT(E45:K45)=7,ISNUMBER(L45),D45="USD",M45&lt;&gt;"",B45&lt;&gt;"",C45&lt;&gt;""),1,0)</x:f>
        <x:v>1</x:v>
      </x:c>
      <x:c r="Q45" s="2" t="str">
        <x:f>B45&amp;"|"&amp;C45</x:f>
        <x:v>Cedar Supply|2026-Q1</x:v>
      </x:c>
      <x:c r="R45" s="2"/>
      <x:c r="S45" s="2"/>
      <x:c r="T45" s="2"/>
      <x:c r="U45" s="2"/>
      <x:c r="V45" s="2"/>
    </x:row>
    <x:row r="46" ht="24" customHeight="1">
      <x:c r="A46" s="8" t="str">
        <x:v>demo-4</x:v>
      </x:c>
      <x:c r="B46" s="8" t="str">
        <x:v>Dovetail Software</x:v>
      </x:c>
      <x:c r="C46" s="8" t="str">
        <x:v>2026-Q1</x:v>
      </x:c>
      <x:c r="D46" s="8" t="str">
        <x:v>USD</x:v>
      </x:c>
      <x:c r="E46" s="9" t="n">
        <x:v>10360000</x:v>
      </x:c>
      <x:c r="F46" s="9" t="n">
        <x:v>1761200</x:v>
      </x:c>
      <x:c r="G46" s="9" t="n">
        <x:v>10540000</x:v>
      </x:c>
      <x:c r="H46" s="9" t="n">
        <x:v>1864800</x:v>
      </x:c>
      <x:c r="I46" s="9" t="n">
        <x:v>103600</x:v>
      </x:c>
      <x:c r="J46" s="9" t="n">
        <x:v>1243200</x:v>
      </x:c>
      <x:c r="K46" s="9" t="n">
        <x:v>10360000</x:v>
      </x:c>
      <x:c r="L46" s="10" t="n">
        <x:v>46117</x:v>
      </x:c>
      <x:c r="M46" s="8" t="str">
        <x:v>SYN-4-2026-Q1</x:v>
      </x:c>
      <x:c r="N46" s="8" t="str">
        <x:v>Dovetail Software controller (fictional)</x:v>
      </x:c>
      <x:c r="O46" s="8" t="str">
        <x:v>Checks passed: synthetic working view</x:v>
      </x:c>
      <x:c r="P46" s="2" t="n">
        <x:f>IF(AND(COUNT(E46:K46)=7,ISNUMBER(L46),D46="USD",M46&lt;&gt;"",B46&lt;&gt;"",C46&lt;&gt;""),1,0)</x:f>
        <x:v>1</x:v>
      </x:c>
      <x:c r="Q46" s="2" t="str">
        <x:f>B46&amp;"|"&amp;C46</x:f>
        <x:v>Dovetail Software|2026-Q1</x:v>
      </x:c>
      <x:c r="R46" s="2"/>
      <x:c r="S46" s="2"/>
      <x:c r="T46" s="2"/>
      <x:c r="U46" s="2"/>
      <x:c r="V46" s="2"/>
    </x:row>
    <x:row r="47" ht="24" customHeight="1">
      <x:c r="A47" s="8" t="str">
        <x:v>demo-5</x:v>
      </x:c>
      <x:c r="B47" s="8" t="str">
        <x:v>Elm Packaging</x:v>
      </x:c>
      <x:c r="C47" s="8" t="str">
        <x:v>2026-Q1</x:v>
      </x:c>
      <x:c r="D47" s="8" t="str">
        <x:v>USD</x:v>
      </x:c>
      <x:c r="E47" s="9" t="n">
        <x:v>12180000</x:v>
      </x:c>
      <x:c r="F47" s="9" t="n">
        <x:v>2375100</x:v>
      </x:c>
      <x:c r="G47" s="9" t="n">
        <x:v>12060000</x:v>
      </x:c>
      <x:c r="H47" s="9" t="n">
        <x:v>2192400</x:v>
      </x:c>
      <x:c r="I47" s="9" t="n">
        <x:v>1096200</x:v>
      </x:c>
      <x:c r="J47" s="9" t="n">
        <x:v>1461600</x:v>
      </x:c>
      <x:c r="K47" s="9" t="n">
        <x:v>12180000</x:v>
      </x:c>
      <x:c r="L47" s="10" t="n">
        <x:v>46117</x:v>
      </x:c>
      <x:c r="M47" s="8" t="str">
        <x:v>SYN-5-2026-Q1</x:v>
      </x:c>
      <x:c r="N47" s="8" t="str">
        <x:v>Elm Packaging controller (fictional)</x:v>
      </x:c>
      <x:c r="O47" s="8" t="str">
        <x:v>Checks passed: synthetic working view</x:v>
      </x:c>
      <x:c r="P47" s="2" t="n">
        <x:f>IF(AND(COUNT(E47:K47)=7,ISNUMBER(L47),D47="USD",M47&lt;&gt;"",B47&lt;&gt;"",C47&lt;&gt;""),1,0)</x:f>
        <x:v>1</x:v>
      </x:c>
      <x:c r="Q47" s="2" t="str">
        <x:f>B47&amp;"|"&amp;C47</x:f>
        <x:v>Elm Packaging|2026-Q1</x:v>
      </x:c>
      <x:c r="R47" s="2"/>
      <x:c r="S47" s="2"/>
      <x:c r="T47" s="2"/>
      <x:c r="U47" s="2"/>
      <x:c r="V47" s="2"/>
    </x:row>
    <x:row r="48" ht="24" customHeight="1">
      <x:c r="A48" s="8" t="str">
        <x:v>demo-6</x:v>
      </x:c>
      <x:c r="B48" s="8" t="str">
        <x:v>Flint Logistics</x:v>
      </x:c>
      <x:c r="C48" s="8" t="str">
        <x:v>2026-Q1</x:v>
      </x:c>
      <x:c r="D48" s="8" t="str">
        <x:v>USD</x:v>
      </x:c>
      <x:c r="E48" s="9" t="n">
        <x:v>14000000</x:v>
      </x:c>
      <x:c r="F48" s="9" t="n">
        <x:v>3080000</x:v>
      </x:c>
      <x:c r="G48" s="9" t="n">
        <x:v>14180000</x:v>
      </x:c>
      <x:c r="H48" s="9" t="n">
        <x:v>2520000</x:v>
      </x:c>
      <x:c r="I48" s="9" t="n">
        <x:v>1260000</x:v>
      </x:c>
      <x:c r="J48" s="9" t="n">
        <x:v>1680000</x:v>
      </x:c>
      <x:c r="K48" s="9" t="n">
        <x:v>14000000</x:v>
      </x:c>
      <x:c r="L48" s="10" t="n">
        <x:v>46117</x:v>
      </x:c>
      <x:c r="M48" s="8" t="str">
        <x:v>SYN-6-2026-Q1</x:v>
      </x:c>
      <x:c r="N48" s="8" t="str">
        <x:v>Flint Logistics controller (fictional)</x:v>
      </x:c>
      <x:c r="O48" s="8" t="str">
        <x:v>Checks passed: synthetic working view</x:v>
      </x:c>
      <x:c r="P48" s="2" t="n">
        <x:f>IF(AND(COUNT(E48:K48)=7,ISNUMBER(L48),D48="USD",M48&lt;&gt;"",B48&lt;&gt;"",C48&lt;&gt;""),1,0)</x:f>
        <x:v>1</x:v>
      </x:c>
      <x:c r="Q48" s="2" t="str">
        <x:f>B48&amp;"|"&amp;C48</x:f>
        <x:v>Flint Logistics|2026-Q1</x:v>
      </x:c>
      <x:c r="R48" s="2"/>
      <x:c r="S48" s="2"/>
      <x:c r="T48" s="2"/>
      <x:c r="U48" s="2"/>
      <x:c r="V48" s="2"/>
    </x:row>
    <x:row r="49" ht="24" customHeight="1">
      <x:c r="A49" s="8" t="str">
        <x:v>demo-1</x:v>
      </x:c>
      <x:c r="B49" s="8" t="str">
        <x:v>Alder Components</x:v>
      </x:c>
      <x:c r="C49" s="8" t="str">
        <x:v>2026-Q2</x:v>
      </x:c>
      <x:c r="D49" s="8" t="str">
        <x:v>USD</x:v>
      </x:c>
      <x:c r="E49" s="9" t="n">
        <x:v>5050000</x:v>
      </x:c>
      <x:c r="F49" s="9" t="n">
        <x:v>505000</x:v>
      </x:c>
      <x:c r="G49" s="9" t="n">
        <x:v>4930000</x:v>
      </x:c>
      <x:c r="H49" s="9" t="n">
        <x:v>909000</x:v>
      </x:c>
      <x:c r="I49" s="9" t="n">
        <x:v>454500</x:v>
      </x:c>
      <x:c r="J49" s="9" t="n">
        <x:v>606000</x:v>
      </x:c>
      <x:c r="K49" s="9" t="n">
        <x:v>5050000</x:v>
      </x:c>
      <x:c r="L49" s="10" t="n">
        <x:v>46208</x:v>
      </x:c>
      <x:c r="M49" s="8" t="str">
        <x:v>SYN-1-2026-Q2</x:v>
      </x:c>
      <x:c r="N49" s="8" t="str">
        <x:v>Alder Components controller (fictional)</x:v>
      </x:c>
      <x:c r="O49" s="8" t="str">
        <x:v>Checks passed: synthetic working view</x:v>
      </x:c>
      <x:c r="P49" s="2" t="n">
        <x:f>IF(AND(COUNT(E49:K49)=7,ISNUMBER(L49),D49="USD",M49&lt;&gt;"",B49&lt;&gt;"",C49&lt;&gt;""),1,0)</x:f>
        <x:v>1</x:v>
      </x:c>
      <x:c r="Q49" s="2" t="str">
        <x:f>B49&amp;"|"&amp;C49</x:f>
        <x:v>Alder Components|2026-Q2</x:v>
      </x:c>
      <x:c r="R49" s="2"/>
      <x:c r="S49" s="2"/>
      <x:c r="T49" s="2"/>
      <x:c r="U49" s="2"/>
      <x:c r="V49" s="2"/>
    </x:row>
    <x:row r="50" ht="24" customHeight="1">
      <x:c r="A50" s="8" t="str">
        <x:v>demo-2</x:v>
      </x:c>
      <x:c r="B50" s="8" t="str">
        <x:v>Briar Field Services</x:v>
      </x:c>
      <x:c r="C50" s="8" t="str">
        <x:v>2026-Q2</x:v>
      </x:c>
      <x:c r="D50" s="8" t="str">
        <x:v>USD</x:v>
      </x:c>
      <x:c r="E50" s="9" t="n">
        <x:v>6890000</x:v>
      </x:c>
      <x:c r="F50" s="9" t="n">
        <x:v>861250</x:v>
      </x:c>
      <x:c r="G50" s="9" t="n">
        <x:v>7070000</x:v>
      </x:c>
      <x:c r="H50" s="9" t="n">
        <x:v>1240200</x:v>
      </x:c>
      <x:c r="I50" s="9" t="n">
        <x:v>620100</x:v>
      </x:c>
      <x:c r="J50" s="9" t="n">
        <x:v>826800</x:v>
      </x:c>
      <x:c r="K50" s="9" t="n">
        <x:v>6890000</x:v>
      </x:c>
      <x:c r="L50" s="10" t="n">
        <x:v>46208</x:v>
      </x:c>
      <x:c r="M50" s="8" t="str">
        <x:v>SYN-2-2026-Q2</x:v>
      </x:c>
      <x:c r="N50" s="8" t="str">
        <x:v>Briar Field Services controller (fictional)</x:v>
      </x:c>
      <x:c r="O50" s="8" t="str">
        <x:v>Checks passed: synthetic working view</x:v>
      </x:c>
      <x:c r="P50" s="2" t="n">
        <x:f>IF(AND(COUNT(E50:K50)=7,ISNUMBER(L50),D50="USD",M50&lt;&gt;"",B50&lt;&gt;"",C50&lt;&gt;""),1,0)</x:f>
        <x:v>1</x:v>
      </x:c>
      <x:c r="Q50" s="2" t="str">
        <x:f>B50&amp;"|"&amp;C50</x:f>
        <x:v>Briar Field Services|2026-Q2</x:v>
      </x:c>
      <x:c r="R50" s="2"/>
      <x:c r="S50" s="2"/>
      <x:c r="T50" s="2"/>
      <x:c r="U50" s="2"/>
      <x:c r="V50" s="2"/>
    </x:row>
    <x:row r="51" ht="24" customHeight="1">
      <x:c r="A51" s="8" t="str">
        <x:v>demo-3</x:v>
      </x:c>
      <x:c r="B51" s="8" t="str">
        <x:v>Cedar Supply</x:v>
      </x:c>
      <x:c r="C51" s="8" t="str">
        <x:v>2026-Q2</x:v>
      </x:c>
      <x:c r="D51" s="8" t="str">
        <x:v>USD</x:v>
      </x:c>
      <x:c r="E51" s="9" t="n">
        <x:v>8730000</x:v>
      </x:c>
      <x:c r="F51" s="9" t="n">
        <x:v>1309500</x:v>
      </x:c>
      <x:c r="G51" s="9" t="n">
        <x:v>8610000</x:v>
      </x:c>
      <x:c r="H51" s="9" t="n">
        <x:v>1571400</x:v>
      </x:c>
      <x:c r="I51" s="9" t="n">
        <x:v>785700</x:v>
      </x:c>
      <x:c r="J51" s="9" t="n">
        <x:v>1047600</x:v>
      </x:c>
      <x:c r="K51" s="9" t="n">
        <x:v>8705000</x:v>
      </x:c>
      <x:c r="L51" s="10" t="n">
        <x:v>46208</x:v>
      </x:c>
      <x:c r="M51" s="8" t="str">
        <x:v>SYN-3-2026-Q2</x:v>
      </x:c>
      <x:c r="N51" s="8" t="str">
        <x:v>Cedar Supply controller (fictional)</x:v>
      </x:c>
      <x:c r="O51" s="8" t="str">
        <x:v>Exception: review required</x:v>
      </x:c>
      <x:c r="P51" s="2" t="n">
        <x:f>IF(AND(COUNT(E51:K51)=7,ISNUMBER(L51),D51="USD",M51&lt;&gt;"",B51&lt;&gt;"",C51&lt;&gt;""),1,0)</x:f>
        <x:v>1</x:v>
      </x:c>
      <x:c r="Q51" s="2" t="str">
        <x:f>B51&amp;"|"&amp;C51</x:f>
        <x:v>Cedar Supply|2026-Q2</x:v>
      </x:c>
      <x:c r="R51" s="2"/>
      <x:c r="S51" s="2"/>
      <x:c r="T51" s="2"/>
      <x:c r="U51" s="2"/>
      <x:c r="V51" s="2"/>
    </x:row>
    <x:row r="52" ht="24" customHeight="1">
      <x:c r="A52" s="8" t="str">
        <x:v>demo-4</x:v>
      </x:c>
      <x:c r="B52" s="8" t="str">
        <x:v>Dovetail Software</x:v>
      </x:c>
      <x:c r="C52" s="8" t="str">
        <x:v>2026-Q2</x:v>
      </x:c>
      <x:c r="D52" s="8" t="str">
        <x:v>USD</x:v>
      </x:c>
      <x:c r="E52" s="9" t="n">
        <x:v>10570000</x:v>
      </x:c>
      <x:c r="F52" s="9" t="n">
        <x:v>1849750</x:v>
      </x:c>
      <x:c r="G52" s="9" t="n">
        <x:v>10750000</x:v>
      </x:c>
      <x:c r="H52" s="9" t="n">
        <x:v>1902600</x:v>
      </x:c>
      <x:c r="I52" s="9" t="n">
        <x:v>105700</x:v>
      </x:c>
      <x:c r="J52" s="9" t="n">
        <x:v>1268400</x:v>
      </x:c>
      <x:c r="K52" s="9" t="n">
        <x:v>10570000</x:v>
      </x:c>
      <x:c r="L52" s="10" t="n">
        <x:v>46208</x:v>
      </x:c>
      <x:c r="M52" s="8" t="str">
        <x:v>SYN-4-2026-Q2</x:v>
      </x:c>
      <x:c r="N52" s="8" t="str">
        <x:v>Dovetail Software controller (fictional)</x:v>
      </x:c>
      <x:c r="O52" s="8" t="str">
        <x:v>Checks passed: synthetic working view</x:v>
      </x:c>
      <x:c r="P52" s="2" t="n">
        <x:f>IF(AND(COUNT(E52:K52)=7,ISNUMBER(L52),D52="USD",M52&lt;&gt;"",B52&lt;&gt;"",C52&lt;&gt;""),1,0)</x:f>
        <x:v>1</x:v>
      </x:c>
      <x:c r="Q52" s="2" t="str">
        <x:f>B52&amp;"|"&amp;C52</x:f>
        <x:v>Dovetail Software|2026-Q2</x:v>
      </x:c>
      <x:c r="R52" s="2"/>
      <x:c r="S52" s="2"/>
      <x:c r="T52" s="2"/>
      <x:c r="U52" s="2"/>
      <x:c r="V52" s="2"/>
    </x:row>
    <x:row r="53" ht="24" customHeight="1">
      <x:c r="A53" s="8" t="str">
        <x:v>demo-5</x:v>
      </x:c>
      <x:c r="B53" s="8" t="str">
        <x:v>Elm Packaging</x:v>
      </x:c>
      <x:c r="C53" s="8" t="str">
        <x:v>2026-Q2</x:v>
      </x:c>
      <x:c r="D53" s="8" t="str">
        <x:v>USD</x:v>
      </x:c>
      <x:c r="E53" s="9" t="n">
        <x:v>12410000</x:v>
      </x:c>
      <x:c r="F53" s="9" t="n">
        <x:v>2482000</x:v>
      </x:c>
      <x:c r="G53" s="9" t="n">
        <x:v>12290000</x:v>
      </x:c>
      <x:c r="H53" s="9" t="n">
        <x:v>2233800</x:v>
      </x:c>
      <x:c r="I53" s="9" t="n">
        <x:v>1116900</x:v>
      </x:c>
      <x:c r="J53" s="9" t="n">
        <x:v>1489200</x:v>
      </x:c>
      <x:c r="K53" s="9" t="n">
        <x:v>12410000</x:v>
      </x:c>
      <x:c r="L53" s="10" t="n">
        <x:v>46183</x:v>
      </x:c>
      <x:c r="M53" s="8" t="str">
        <x:v>SYN-5-2026-Q2</x:v>
      </x:c>
      <x:c r="N53" s="8" t="str">
        <x:v>Elm Packaging controller (fictional)</x:v>
      </x:c>
      <x:c r="O53" s="8" t="str">
        <x:v>Exception: review required</x:v>
      </x:c>
      <x:c r="P53" s="2" t="n">
        <x:f>IF(AND(COUNT(E53:K53)=7,ISNUMBER(L53),D53="USD",M53&lt;&gt;"",B53&lt;&gt;"",C53&lt;&gt;""),1,0)</x:f>
        <x:v>1</x:v>
      </x:c>
      <x:c r="Q53" s="2" t="str">
        <x:f>B53&amp;"|"&amp;C53</x:f>
        <x:v>Elm Packaging|2026-Q2</x:v>
      </x:c>
      <x:c r="R53" s="2"/>
      <x:c r="S53" s="2"/>
      <x:c r="T53" s="2"/>
      <x:c r="U53" s="2"/>
      <x:c r="V53" s="2"/>
    </x:row>
    <x:row r="54" ht="24" customHeight="1">
      <x:c r="A54" s="8" t="str">
        <x:v>demo-6</x:v>
      </x:c>
      <x:c r="B54" s="8" t="str">
        <x:v>Flint Logistics</x:v>
      </x:c>
      <x:c r="C54" s="8" t="str">
        <x:v>2026-Q2</x:v>
      </x:c>
      <x:c r="D54" s="8" t="str">
        <x:v>USD</x:v>
      </x:c>
      <x:c r="E54" s="9" t="n">
        <x:v>14250000</x:v>
      </x:c>
      <x:c r="F54" s="9" t="n">
        <x:v>3206250</x:v>
      </x:c>
      <x:c r="G54" s="9" t="n">
        <x:v>14430000</x:v>
      </x:c>
      <x:c r="H54" s="9" t="n">
        <x:v>2565000</x:v>
      </x:c>
      <x:c r="I54" s="9" t="n">
        <x:v>1282500</x:v>
      </x:c>
      <x:c r="J54" s="9" t="n">
        <x:v>1710000</x:v>
      </x:c>
      <x:c r="K54" s="9" t="n">
        <x:v>14250000</x:v>
      </x:c>
      <x:c r="L54" s="10" t="n">
        <x:v>46208</x:v>
      </x:c>
      <x:c r="M54" s="8" t="str">
        <x:v>SYN-6-2026-Q2</x:v>
      </x:c>
      <x:c r="N54" s="8" t="str">
        <x:v>Flint Logistics controller (fictional)</x:v>
      </x:c>
      <x:c r="O54" s="8" t="str">
        <x:v>Checks passed: synthetic working view</x:v>
      </x:c>
      <x:c r="P54" s="2" t="n">
        <x:f>IF(AND(COUNT(E54:K54)=7,ISNUMBER(L54),D54="USD",M54&lt;&gt;"",B54&lt;&gt;"",C54&lt;&gt;""),1,0)</x:f>
        <x:v>1</x:v>
      </x:c>
      <x:c r="Q54" s="2" t="str">
        <x:f>B54&amp;"|"&amp;C54</x:f>
        <x:v>Flint Logistics|2026-Q2</x:v>
      </x:c>
      <x:c r="R54" s="2"/>
      <x:c r="S54" s="2"/>
      <x:c r="T54" s="2"/>
      <x:c r="U54" s="2"/>
      <x:c r="V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</x:row>
    <x:row r="56" ht="24" customHeight="1">
      <x:c r="A56" s="2" t="str">
        <x:v>Edit only the existing source cells to explore scenarios. Adding periods or companies requires extending the ranges and controls.</x:v>
      </x:c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</x:row>
    <x:row r="57" ht="24" customHeight="1">
      <x:c r="A57" s="2" t="str">
        <x:v>Required numeric inputs, source IDs and the USD basis are checked per row; the selected company/quarter must match exactly once.</x:v>
      </x:c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</x:row>
  </x:sheetData>
  <x:pageMargins left="0.7" right="0.7" top="0.75" bottom="0.75" header="0.3" footer="0.3"/>
  <x:tableParts count="1">
    <x:tablePart xmlns:r="http://schemas.openxmlformats.org/officeDocument/2006/relationships" r:id="R2e1ef3186ecf487d"/>
  </x:tableParts>
</x:worksheet>
</file>

<file path=xl/worksheets/sheet4.xml><?xml version="1.0" encoding="utf-8"?>
<x:worksheet xmlns:x="http://schemas.openxmlformats.org/spreadsheetml/2006/main">
  <x:sheetPr>
    <x:tabColor rgb="FF23724B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25" hidden="0" customWidth="1"/>
    <x:col min="8" max="8" width="39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4" customHeight="1">
      <x:c r="A2" s="3" t="str">
        <x:v>Fund source records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4" customHeight="1">
      <x:c r="A3" s="4" t="str">
        <x:v>SYNTHETIC · Example Fund I · USD · Simplified investor-level net basis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4" customHeight="1">
      <x:c r="A4" s="2" t="str">
        <x:v>Source: https://permadynanalytics.com/downloads/private-equity/fund-reporting.json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38" customHeight="1">
      <x:c r="A6" s="7" t="str">
        <x:v>Sequence</x:v>
      </x:c>
      <x:c r="B6" s="7" t="str">
        <x:v>Quarter</x:v>
      </x:c>
      <x:c r="C6" s="7" t="str">
        <x:v>Contributions</x:v>
      </x:c>
      <x:c r="D6" s="7" t="str">
        <x:v>Distributions</x:v>
      </x:c>
      <x:c r="E6" s="7" t="str">
        <x:v>Net change</x:v>
      </x:c>
      <x:c r="F6" s="7" t="str">
        <x:v>Closing NAV</x:v>
      </x:c>
      <x:c r="G6" s="7" t="str">
        <x:v>Source ID</x:v>
      </x:c>
      <x:c r="H6" s="7" t="str">
        <x:v>Basis</x:v>
      </x:c>
      <x:c r="I6" s="7" t="str">
        <x:v>Approved source</x:v>
      </x:c>
      <x:c r="J6" s="7" t="str">
        <x:v>Required inputs valid</x:v>
      </x:c>
      <x:c r="K6" s="7" t="str">
        <x:v>Opening NAV</x:v>
      </x:c>
      <x:c r="L6" s="7" t="str">
        <x:v>Expected NAV</x:v>
      </x:c>
      <x:c r="M6" s="7" t="str">
        <x:v>NAV residual</x:v>
      </x:c>
      <x:c r="N6" s="7" t="str">
        <x:v>Paid-in to date</x:v>
      </x:c>
      <x:c r="O6" s="7" t="str">
        <x:v>Distributed to date</x:v>
      </x:c>
    </x:row>
    <x:row r="7" ht="46" customHeight="1">
      <x:c r="A7" s="8" t="n">
        <x:v>1</x:v>
      </x:c>
      <x:c r="B7" s="8" t="str">
        <x:v>2024-Q3</x:v>
      </x:c>
      <x:c r="C7" s="9" t="n">
        <x:v>20000000</x:v>
      </x:c>
      <x:c r="D7" s="9" t="n">
        <x:v>0</x:v>
      </x:c>
      <x:c r="E7" s="9" t="n">
        <x:v>1000000</x:v>
      </x:c>
      <x:c r="F7" s="9" t="n">
        <x:v>21000000</x:v>
      </x:c>
      <x:c r="G7" s="8" t="str">
        <x:v>SYN-FUND-2024-Q3</x:v>
      </x:c>
      <x:c r="H7" s="30" t="str">
        <x:v>Simplified investor-level net basis; fictional data; USD</x:v>
      </x:c>
      <x:c r="I7" s="31" t="b">
        <x:v>0</x:v>
      </x:c>
      <x:c r="J7" s="2" t="n">
        <x:f>IF(AND(COUNT(C7:F7)=4,C7&gt;=0,D7&gt;=0,F7&gt;=0,G7&lt;&gt;"",COUNTIFS($B$7:$B$14,B7)=1),1,0)</x:f>
        <x:v>1</x:v>
      </x:c>
      <x:c r="K7" s="14" t="n">
        <x:f>0</x:f>
        <x:v>0</x:v>
      </x:c>
      <x:c r="L7" s="14" t="n">
        <x:f>IF(AND(J7=1,ISNUMBER(K7)),K7+C7-D7+E7,"n.a.")</x:f>
        <x:v>21000000</x:v>
      </x:c>
      <x:c r="M7" s="14" t="n">
        <x:f>IF(ISNUMBER(L7),F7-L7,"n.a.")</x:f>
        <x:v>0</x:v>
      </x:c>
      <x:c r="N7" s="14" t="n">
        <x:f>IF(COUNTIFS($J$7:J7,1)=1,SUM($C$7:C7),"n.a.")</x:f>
        <x:v>20000000</x:v>
      </x:c>
      <x:c r="O7" s="14" t="n">
        <x:f>IF(COUNTIFS($J$7:J7,1)=1,SUM($D$7:D7),"n.a.")</x:f>
        <x:v>0</x:v>
      </x:c>
    </x:row>
    <x:row r="8" ht="46" customHeight="1">
      <x:c r="A8" s="8" t="n">
        <x:v>2</x:v>
      </x:c>
      <x:c r="B8" s="8" t="str">
        <x:v>2024-Q4</x:v>
      </x:c>
      <x:c r="C8" s="9" t="n">
        <x:v>15000000</x:v>
      </x:c>
      <x:c r="D8" s="9" t="n">
        <x:v>0</x:v>
      </x:c>
      <x:c r="E8" s="9" t="n">
        <x:v>2000000</x:v>
      </x:c>
      <x:c r="F8" s="9" t="n">
        <x:v>38000000</x:v>
      </x:c>
      <x:c r="G8" s="8" t="str">
        <x:v>SYN-FUND-2024-Q4</x:v>
      </x:c>
      <x:c r="H8" s="30" t="str">
        <x:v>Simplified investor-level net basis; fictional data; USD</x:v>
      </x:c>
      <x:c r="I8" s="31" t="b">
        <x:v>0</x:v>
      </x:c>
      <x:c r="J8" s="2" t="n">
        <x:f>IF(AND(COUNT(C8:F8)=4,C8&gt;=0,D8&gt;=0,F8&gt;=0,G8&lt;&gt;"",COUNTIFS($B$7:$B$14,B8)=1),1,0)</x:f>
        <x:v>1</x:v>
      </x:c>
      <x:c r="K8" s="14" t="n">
        <x:f>IF(J7=1,F7,"n.a.")</x:f>
        <x:v>21000000</x:v>
      </x:c>
      <x:c r="L8" s="14" t="n">
        <x:f>IF(AND(J8=1,ISNUMBER(K8)),K8+C8-D8+E8,"n.a.")</x:f>
        <x:v>38000000</x:v>
      </x:c>
      <x:c r="M8" s="14" t="n">
        <x:f>IF(ISNUMBER(L8),F8-L8,"n.a.")</x:f>
        <x:v>0</x:v>
      </x:c>
      <x:c r="N8" s="14" t="n">
        <x:f>IF(COUNTIFS($J$7:J8,1)=2,SUM($C$7:C8),"n.a.")</x:f>
        <x:v>35000000</x:v>
      </x:c>
      <x:c r="O8" s="14" t="n">
        <x:f>IF(COUNTIFS($J$7:J8,1)=2,SUM($D$7:D8),"n.a.")</x:f>
        <x:v>0</x:v>
      </x:c>
    </x:row>
    <x:row r="9" ht="46" customHeight="1">
      <x:c r="A9" s="8" t="n">
        <x:v>3</x:v>
      </x:c>
      <x:c r="B9" s="8" t="str">
        <x:v>2025-Q1</x:v>
      </x:c>
      <x:c r="C9" s="9" t="n">
        <x:v>15000000</x:v>
      </x:c>
      <x:c r="D9" s="9" t="n">
        <x:v>2000000</x:v>
      </x:c>
      <x:c r="E9" s="9" t="n">
        <x:v>-1000000</x:v>
      </x:c>
      <x:c r="F9" s="9" t="n">
        <x:v>50000000</x:v>
      </x:c>
      <x:c r="G9" s="8" t="str">
        <x:v>SYN-FUND-2025-Q1</x:v>
      </x:c>
      <x:c r="H9" s="30" t="str">
        <x:v>Simplified investor-level net basis; fictional data; USD</x:v>
      </x:c>
      <x:c r="I9" s="31" t="b">
        <x:v>0</x:v>
      </x:c>
      <x:c r="J9" s="2" t="n">
        <x:f>IF(AND(COUNT(C9:F9)=4,C9&gt;=0,D9&gt;=0,F9&gt;=0,G9&lt;&gt;"",COUNTIFS($B$7:$B$14,B9)=1),1,0)</x:f>
        <x:v>1</x:v>
      </x:c>
      <x:c r="K9" s="14" t="n">
        <x:f>IF(J8=1,F8,"n.a.")</x:f>
        <x:v>38000000</x:v>
      </x:c>
      <x:c r="L9" s="14" t="n">
        <x:f>IF(AND(J9=1,ISNUMBER(K9)),K9+C9-D9+E9,"n.a.")</x:f>
        <x:v>50000000</x:v>
      </x:c>
      <x:c r="M9" s="14" t="n">
        <x:f>IF(ISNUMBER(L9),F9-L9,"n.a.")</x:f>
        <x:v>0</x:v>
      </x:c>
      <x:c r="N9" s="14" t="n">
        <x:f>IF(COUNTIFS($J$7:J9,1)=3,SUM($C$7:C9),"n.a.")</x:f>
        <x:v>50000000</x:v>
      </x:c>
      <x:c r="O9" s="14" t="n">
        <x:f>IF(COUNTIFS($J$7:J9,1)=3,SUM($D$7:D9),"n.a.")</x:f>
        <x:v>2000000</x:v>
      </x:c>
    </x:row>
    <x:row r="10" ht="46" customHeight="1">
      <x:c r="A10" s="8" t="n">
        <x:v>4</x:v>
      </x:c>
      <x:c r="B10" s="8" t="str">
        <x:v>2025-Q2</x:v>
      </x:c>
      <x:c r="C10" s="9" t="n">
        <x:v>10000000</x:v>
      </x:c>
      <x:c r="D10" s="9" t="n">
        <x:v>3000000</x:v>
      </x:c>
      <x:c r="E10" s="9" t="n">
        <x:v>4000000</x:v>
      </x:c>
      <x:c r="F10" s="9" t="n">
        <x:v>61000000</x:v>
      </x:c>
      <x:c r="G10" s="8" t="str">
        <x:v>SYN-FUND-2025-Q2</x:v>
      </x:c>
      <x:c r="H10" s="30" t="str">
        <x:v>Simplified investor-level net basis; fictional data; USD</x:v>
      </x:c>
      <x:c r="I10" s="31" t="b">
        <x:v>0</x:v>
      </x:c>
      <x:c r="J10" s="2" t="n">
        <x:f>IF(AND(COUNT(C10:F10)=4,C10&gt;=0,D10&gt;=0,F10&gt;=0,G10&lt;&gt;"",COUNTIFS($B$7:$B$14,B10)=1),1,0)</x:f>
        <x:v>1</x:v>
      </x:c>
      <x:c r="K10" s="14" t="n">
        <x:f>IF(J9=1,F9,"n.a.")</x:f>
        <x:v>50000000</x:v>
      </x:c>
      <x:c r="L10" s="14" t="n">
        <x:f>IF(AND(J10=1,ISNUMBER(K10)),K10+C10-D10+E10,"n.a.")</x:f>
        <x:v>61000000</x:v>
      </x:c>
      <x:c r="M10" s="14" t="n">
        <x:f>IF(ISNUMBER(L10),F10-L10,"n.a.")</x:f>
        <x:v>0</x:v>
      </x:c>
      <x:c r="N10" s="14" t="n">
        <x:f>IF(COUNTIFS($J$7:J10,1)=4,SUM($C$7:C10),"n.a.")</x:f>
        <x:v>60000000</x:v>
      </x:c>
      <x:c r="O10" s="14" t="n">
        <x:f>IF(COUNTIFS($J$7:J10,1)=4,SUM($D$7:D10),"n.a.")</x:f>
        <x:v>5000000</x:v>
      </x:c>
    </x:row>
    <x:row r="11" ht="46" customHeight="1">
      <x:c r="A11" s="8" t="n">
        <x:v>5</x:v>
      </x:c>
      <x:c r="B11" s="8" t="str">
        <x:v>2025-Q3</x:v>
      </x:c>
      <x:c r="C11" s="9" t="n">
        <x:v>10000000</x:v>
      </x:c>
      <x:c r="D11" s="9" t="n">
        <x:v>4000000</x:v>
      </x:c>
      <x:c r="E11" s="9" t="n">
        <x:v>5000000</x:v>
      </x:c>
      <x:c r="F11" s="9" t="n">
        <x:v>72000000</x:v>
      </x:c>
      <x:c r="G11" s="8" t="str">
        <x:v>SYN-FUND-2025-Q3</x:v>
      </x:c>
      <x:c r="H11" s="30" t="str">
        <x:v>Simplified investor-level net basis; fictional data; USD</x:v>
      </x:c>
      <x:c r="I11" s="31" t="b">
        <x:v>0</x:v>
      </x:c>
      <x:c r="J11" s="2" t="n">
        <x:f>IF(AND(COUNT(C11:F11)=4,C11&gt;=0,D11&gt;=0,F11&gt;=0,G11&lt;&gt;"",COUNTIFS($B$7:$B$14,B11)=1),1,0)</x:f>
        <x:v>1</x:v>
      </x:c>
      <x:c r="K11" s="14" t="n">
        <x:f>IF(J10=1,F10,"n.a.")</x:f>
        <x:v>61000000</x:v>
      </x:c>
      <x:c r="L11" s="14" t="n">
        <x:f>IF(AND(J11=1,ISNUMBER(K11)),K11+C11-D11+E11,"n.a.")</x:f>
        <x:v>72000000</x:v>
      </x:c>
      <x:c r="M11" s="14" t="n">
        <x:f>IF(ISNUMBER(L11),F11-L11,"n.a.")</x:f>
        <x:v>0</x:v>
      </x:c>
      <x:c r="N11" s="14" t="n">
        <x:f>IF(COUNTIFS($J$7:J11,1)=5,SUM($C$7:C11),"n.a.")</x:f>
        <x:v>70000000</x:v>
      </x:c>
      <x:c r="O11" s="14" t="n">
        <x:f>IF(COUNTIFS($J$7:J11,1)=5,SUM($D$7:D11),"n.a.")</x:f>
        <x:v>9000000</x:v>
      </x:c>
    </x:row>
    <x:row r="12" ht="46" customHeight="1">
      <x:c r="A12" s="8" t="n">
        <x:v>6</x:v>
      </x:c>
      <x:c r="B12" s="8" t="str">
        <x:v>2025-Q4</x:v>
      </x:c>
      <x:c r="C12" s="9" t="n">
        <x:v>10000000</x:v>
      </x:c>
      <x:c r="D12" s="9" t="n">
        <x:v>5000000</x:v>
      </x:c>
      <x:c r="E12" s="9" t="n">
        <x:v>10000000</x:v>
      </x:c>
      <x:c r="F12" s="9" t="n">
        <x:v>87000000</x:v>
      </x:c>
      <x:c r="G12" s="8" t="str">
        <x:v>SYN-FUND-2025-Q4</x:v>
      </x:c>
      <x:c r="H12" s="30" t="str">
        <x:v>Simplified investor-level net basis; fictional data; USD</x:v>
      </x:c>
      <x:c r="I12" s="31" t="b">
        <x:v>0</x:v>
      </x:c>
      <x:c r="J12" s="2" t="n">
        <x:f>IF(AND(COUNT(C12:F12)=4,C12&gt;=0,D12&gt;=0,F12&gt;=0,G12&lt;&gt;"",COUNTIFS($B$7:$B$14,B12)=1),1,0)</x:f>
        <x:v>1</x:v>
      </x:c>
      <x:c r="K12" s="14" t="n">
        <x:f>IF(J11=1,F11,"n.a.")</x:f>
        <x:v>72000000</x:v>
      </x:c>
      <x:c r="L12" s="14" t="n">
        <x:f>IF(AND(J12=1,ISNUMBER(K12)),K12+C12-D12+E12,"n.a.")</x:f>
        <x:v>87000000</x:v>
      </x:c>
      <x:c r="M12" s="14" t="n">
        <x:f>IF(ISNUMBER(L12),F12-L12,"n.a.")</x:f>
        <x:v>0</x:v>
      </x:c>
      <x:c r="N12" s="14" t="n">
        <x:f>IF(COUNTIFS($J$7:J12,1)=6,SUM($C$7:C12),"n.a.")</x:f>
        <x:v>80000000</x:v>
      </x:c>
      <x:c r="O12" s="14" t="n">
        <x:f>IF(COUNTIFS($J$7:J12,1)=6,SUM($D$7:D12),"n.a.")</x:f>
        <x:v>14000000</x:v>
      </x:c>
    </x:row>
    <x:row r="13" ht="46" customHeight="1">
      <x:c r="A13" s="8" t="n">
        <x:v>7</x:v>
      </x:c>
      <x:c r="B13" s="8" t="str">
        <x:v>2026-Q1</x:v>
      </x:c>
      <x:c r="C13" s="9" t="n">
        <x:v>10000000</x:v>
      </x:c>
      <x:c r="D13" s="9" t="n">
        <x:v>8000000</x:v>
      </x:c>
      <x:c r="E13" s="9" t="n">
        <x:v>12000000</x:v>
      </x:c>
      <x:c r="F13" s="9" t="n">
        <x:v>101000000</x:v>
      </x:c>
      <x:c r="G13" s="8" t="str">
        <x:v>SYN-FUND-2026-Q1</x:v>
      </x:c>
      <x:c r="H13" s="30" t="str">
        <x:v>Simplified investor-level net basis; fictional data; USD</x:v>
      </x:c>
      <x:c r="I13" s="31" t="b">
        <x:v>0</x:v>
      </x:c>
      <x:c r="J13" s="2" t="n">
        <x:f>IF(AND(COUNT(C13:F13)=4,C13&gt;=0,D13&gt;=0,F13&gt;=0,G13&lt;&gt;"",COUNTIFS($B$7:$B$14,B13)=1),1,0)</x:f>
        <x:v>1</x:v>
      </x:c>
      <x:c r="K13" s="14" t="n">
        <x:f>IF(J12=1,F12,"n.a.")</x:f>
        <x:v>87000000</x:v>
      </x:c>
      <x:c r="L13" s="14" t="n">
        <x:f>IF(AND(J13=1,ISNUMBER(K13)),K13+C13-D13+E13,"n.a.")</x:f>
        <x:v>101000000</x:v>
      </x:c>
      <x:c r="M13" s="14" t="n">
        <x:f>IF(ISNUMBER(L13),F13-L13,"n.a.")</x:f>
        <x:v>0</x:v>
      </x:c>
      <x:c r="N13" s="14" t="n">
        <x:f>IF(COUNTIFS($J$7:J13,1)=7,SUM($C$7:C13),"n.a.")</x:f>
        <x:v>90000000</x:v>
      </x:c>
      <x:c r="O13" s="14" t="n">
        <x:f>IF(COUNTIFS($J$7:J13,1)=7,SUM($D$7:D13),"n.a.")</x:f>
        <x:v>22000000</x:v>
      </x:c>
    </x:row>
    <x:row r="14" ht="46" customHeight="1">
      <x:c r="A14" s="8" t="n">
        <x:v>8</x:v>
      </x:c>
      <x:c r="B14" s="8" t="str">
        <x:v>2026-Q2</x:v>
      </x:c>
      <x:c r="C14" s="9" t="n">
        <x:v>10000000</x:v>
      </x:c>
      <x:c r="D14" s="9" t="n">
        <x:v>8000000</x:v>
      </x:c>
      <x:c r="E14" s="9" t="n">
        <x:v>17000000</x:v>
      </x:c>
      <x:c r="F14" s="9" t="n">
        <x:v>120000000</x:v>
      </x:c>
      <x:c r="G14" s="8" t="str">
        <x:v>SYN-FUND-2026-Q2</x:v>
      </x:c>
      <x:c r="H14" s="30" t="str">
        <x:v>Simplified investor-level net basis; fictional data; USD</x:v>
      </x:c>
      <x:c r="I14" s="31" t="b">
        <x:v>0</x:v>
      </x:c>
      <x:c r="J14" s="2" t="n">
        <x:f>IF(AND(COUNT(C14:F14)=4,C14&gt;=0,D14&gt;=0,F14&gt;=0,G14&lt;&gt;"",COUNTIFS($B$7:$B$14,B14)=1),1,0)</x:f>
        <x:v>1</x:v>
      </x:c>
      <x:c r="K14" s="14" t="n">
        <x:f>IF(J13=1,F13,"n.a.")</x:f>
        <x:v>101000000</x:v>
      </x:c>
      <x:c r="L14" s="14" t="n">
        <x:f>IF(AND(J14=1,ISNUMBER(K14)),K14+C14-D14+E14,"n.a.")</x:f>
        <x:v>120000000</x:v>
      </x:c>
      <x:c r="M14" s="14" t="n">
        <x:f>IF(ISNUMBER(L14),F14-L14,"n.a.")</x:f>
        <x:v>0</x:v>
      </x:c>
      <x:c r="N14" s="14" t="n">
        <x:f>IF(COUNTIFS($J$7:J14,1)=8,SUM($C$7:C14),"n.a.")</x:f>
        <x:v>100000000</x:v>
      </x:c>
      <x:c r="O14" s="14" t="n">
        <x:f>IF(COUNTIFS($J$7:J14,1)=8,SUM($D$7:D14),"n.a.")</x:f>
        <x:v>30000000</x:v>
      </x:c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 ht="24" customHeight="1">
      <x:c r="A17" s="18" t="str">
        <x:v>Source mapping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 ht="24" customHeight="1">
      <x:c r="A18" s="2" t="str">
        <x:v>Source: https://permadynanalytics.com/downloads/private-equity/source-mapping.json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 ht="38" customHeight="1">
      <x:c r="A20" s="7" t="str">
        <x:v>Output</x:v>
      </x:c>
      <x:c r="B20" s="7" t="str">
        <x:v>Source schedule</x:v>
      </x:c>
      <x:c r="C20" s="7" t="str">
        <x:v>Grain</x:v>
      </x:c>
      <x:c r="D20" s="7" t="str">
        <x:v>Calculation</x:v>
      </x:c>
      <x:c r="E20" s="7" t="str">
        <x:v>Control</x:v>
      </x:c>
      <x:c r="F20" s="7" t="str">
        <x:v>Owner</x:v>
      </x:c>
      <x:c r="G20" s="2"/>
      <x:c r="H20" s="2"/>
      <x:c r="I20" s="2"/>
      <x:c r="J20" s="2"/>
      <x:c r="K20" s="2"/>
      <x:c r="L20" s="2"/>
      <x:c r="M20" s="2"/>
      <x:c r="N20" s="2"/>
      <x:c r="O20" s="2"/>
    </x:row>
    <x:row r="21" ht="92" customHeight="1">
      <x:c r="A21" s="32" t="str">
        <x:v>Paid-in capital</x:v>
      </x:c>
      <x:c r="B21" s="32" t="str">
        <x:v>Approved contribution schedule</x:v>
      </x:c>
      <x:c r="C21" s="32" t="str">
        <x:v>Fund × transaction</x:v>
      </x:c>
      <x:c r="D21" s="32" t="str">
        <x:v>Cumulative eligible contributions through cutoff</x:v>
      </x:c>
      <x:c r="E21" s="32" t="str">
        <x:v>Source IDs, duplicates, cutoff and currency</x:v>
      </x:c>
      <x:c r="F21" s="32" t="str">
        <x:v>Fund finance</x:v>
      </x:c>
      <x:c r="G21" s="2"/>
      <x:c r="H21" s="2"/>
      <x:c r="I21" s="2"/>
      <x:c r="J21" s="2"/>
      <x:c r="K21" s="2"/>
      <x:c r="L21" s="2"/>
      <x:c r="M21" s="2"/>
      <x:c r="N21" s="2"/>
      <x:c r="O21" s="2"/>
    </x:row>
    <x:row r="22" ht="92" customHeight="1">
      <x:c r="A22" s="32" t="str">
        <x:v>Distributions</x:v>
      </x:c>
      <x:c r="B22" s="32" t="str">
        <x:v>Approved distribution schedule</x:v>
      </x:c>
      <x:c r="C22" s="32" t="str">
        <x:v>Fund × transaction</x:v>
      </x:c>
      <x:c r="D22" s="32" t="str">
        <x:v>Cumulative eligible distributions through cutoff</x:v>
      </x:c>
      <x:c r="E22" s="32" t="str">
        <x:v>Tie to approved cash-flow schedule</x:v>
      </x:c>
      <x:c r="F22" s="32" t="str">
        <x:v>Fund finance</x:v>
      </x:c>
      <x:c r="G22" s="2"/>
      <x:c r="H22" s="2"/>
      <x:c r="I22" s="2"/>
      <x:c r="J22" s="2"/>
      <x:c r="K22" s="2"/>
      <x:c r="L22" s="2"/>
      <x:c r="M22" s="2"/>
      <x:c r="N22" s="2"/>
      <x:c r="O22" s="2"/>
    </x:row>
    <x:row r="23" ht="92" customHeight="1">
      <x:c r="A23" s="32" t="str">
        <x:v>Closing NAV</x:v>
      </x:c>
      <x:c r="B23" s="32" t="str">
        <x:v>Approved valuation / accounting snapshot</x:v>
      </x:c>
      <x:c r="C23" s="32" t="str">
        <x:v>Fund × reporting date</x:v>
      </x:c>
      <x:c r="D23" s="32" t="str">
        <x:v>Selected closing snapshot; never sum across periods</x:v>
      </x:c>
      <x:c r="E23" s="32" t="str">
        <x:v>NAV bridge and approved valuation version</x:v>
      </x:c>
      <x:c r="F23" s="32" t="str">
        <x:v>Valuation and finance reviewers</x:v>
      </x:c>
      <x:c r="G23" s="2"/>
      <x:c r="H23" s="2"/>
      <x:c r="I23" s="2"/>
      <x:c r="J23" s="2"/>
      <x:c r="K23" s="2"/>
      <x:c r="L23" s="2"/>
      <x:c r="M23" s="2"/>
      <x:c r="N23" s="2"/>
      <x:c r="O23" s="2"/>
    </x:row>
    <x:row r="24" ht="92" customHeight="1">
      <x:c r="A24" s="32" t="str">
        <x:v>DPI / RVPI / TVPI</x:v>
      </x:c>
      <x:c r="B24" s="32" t="str">
        <x:v>Reconciled cumulative flows and closing NAV</x:v>
      </x:c>
      <x:c r="C24" s="32" t="str">
        <x:v>Fund × reporting date × basis</x:v>
      </x:c>
      <x:c r="D24" s="32" t="str">
        <x:v>D / PIC; NAV / PIC; (D + NAV) / PIC</x:v>
      </x:c>
      <x:c r="E24" s="32" t="str">
        <x:v>Positive denominator, basis agreement and independent fixture</x:v>
      </x:c>
      <x:c r="F24" s="32" t="str">
        <x:v>Reporting reviewer</x:v>
      </x:c>
      <x:c r="G24" s="2"/>
      <x:c r="H24" s="2"/>
      <x:c r="I24" s="2"/>
      <x:c r="J24" s="2"/>
      <x:c r="K24" s="2"/>
      <x:c r="L24" s="2"/>
      <x:c r="M24" s="2"/>
      <x:c r="N24" s="2"/>
      <x:c r="O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 ht="24" customHeight="1">
      <x:c r="A27" s="18" t="str">
        <x:v>Basis and exclusions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24" customHeight="1">
      <x:c r="A28" s="2" t="str">
        <x:v>NAV and net change are modeled after fees and expenses; no detailed fee allocation schedule is included.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24" customHeight="1">
      <x:c r="A29" s="2" t="str">
        <x:v>Excluded: recallable distributions, subscription facilities, FX, investor allocations, IRR and tax/legal interpretation.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4" customHeight="1">
      <x:c r="A30" s="2" t="str">
        <x:v>This original example is not an ILPA template or certification. Apply the fund’s agreed reporting conventions.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4" customHeight="1">
      <x:c r="A31" s="2" t="str">
        <x:v>ILPA performance guidance: https://ilpa.org/industry-guidance/templates-standards-model-documents/ilpa-templates-hub/ilpa-performance-template/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 ht="24" customHeight="1">
      <x:c r="A33" s="2" t="str">
        <x:v>Beginning NAV is zero before the first synthetic period. Source rows remain in chronological order.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 ht="24" customHeight="1">
      <x:c r="A34" s="2" t="str">
        <x:v>Calculation columns K:O follow the source order; extend all ranges and validate cutoffs before adding new periods.</x:v>
      </x:c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</x:sheetData>
  <x:pageMargins left="0.7" right="0.7" top="0.75" bottom="0.75" header="0.3" footer="0.3"/>
  <x:tableParts count="1">
    <x:tablePart xmlns:r="http://schemas.openxmlformats.org/officeDocument/2006/relationships" r:id="R68b20ee0b28f4f89"/>
  </x:tableParts>
</x:worksheet>
</file>